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7530" windowHeight="3495" tabRatio="790" activeTab="1"/>
  </bookViews>
  <sheets>
    <sheet name="Naslovnica" sheetId="1" r:id="rId1"/>
    <sheet name="Tocka preloma" sheetId="2" r:id="rId2"/>
    <sheet name="Osnovna sredstva" sheetId="3" r:id="rId3"/>
    <sheet name="Denarni tokovi" sheetId="4" r:id="rId4"/>
    <sheet name="Bilanca Stanja" sheetId="5" r:id="rId5"/>
    <sheet name="Izkaz Uspeha" sheetId="6" r:id="rId6"/>
    <sheet name="Kazalniki" sheetId="7" r:id="rId7"/>
  </sheets>
  <definedNames>
    <definedName name="_xlnm.Print_Area" localSheetId="1">'Tocka preloma'!$A$1:$M$63</definedName>
  </definedNames>
  <calcPr fullCalcOnLoad="1"/>
</workbook>
</file>

<file path=xl/comments1.xml><?xml version="1.0" encoding="utf-8"?>
<comments xmlns="http://schemas.openxmlformats.org/spreadsheetml/2006/main">
  <authors>
    <author>Cebelica</author>
  </authors>
  <commentList>
    <comment ref="B8" authorId="0">
      <text>
        <r>
          <rPr>
            <b/>
            <sz val="8"/>
            <rFont val="Tahoma"/>
            <family val="0"/>
          </rPr>
          <t>Celoten Excel program je namenjen informativni preveritvi poslovne ideje.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Cebelica</author>
  </authors>
  <commentList>
    <comment ref="A1" authorId="0">
      <text>
        <r>
          <rPr>
            <b/>
            <sz val="8"/>
            <rFont val="Tahoma"/>
            <family val="0"/>
          </rPr>
          <t>Izračun uspešnosti poslovanja po posameznih produktih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Opredelite tipičen produkt ter zanj prodajno ceno in neposredne stroške na enoto produkta</t>
        </r>
      </text>
    </comment>
    <comment ref="A7" authorId="0">
      <text>
        <r>
          <rPr>
            <b/>
            <sz val="8"/>
            <rFont val="Tahoma"/>
            <family val="0"/>
          </rPr>
          <t>Splošni mesečni stroški poslovanja, ki niso vezani na posamezen produkt - nastajajo tudi ko podjetje nič ne dela.</t>
        </r>
      </text>
    </comment>
    <comment ref="A25" authorId="0">
      <text>
        <r>
          <rPr>
            <b/>
            <sz val="8"/>
            <rFont val="Tahoma"/>
            <family val="2"/>
          </rPr>
          <t>Pri oceni podatkov za celotno leto so lahko osnova sumarni podatki za prvo leto.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Letno povprečje je izračunano kot tehtano povprečje mesečnih napovedi.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Povprečen delež vrednosti prodaje po posameznem trgu.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0"/>
          </rPr>
          <t>Seštevek zmnožkov prodanih enot in prodajne cene na enoto produktov.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0"/>
          </rPr>
          <t>Stroški, nastali neposredno s proizvodnjo prodanih produktov. So seštevek zmnožkov prodanih količin in stroškov na enoto.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0"/>
          </rPr>
          <t>Razlika med prihodki od prodaje in variabilnimi stroški, namenjeni za kritje fiksnih stroškov.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0"/>
          </rPr>
          <t>Seštevek variabilnih in fiksnih stroškov.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0"/>
          </rPr>
          <t>Razlika med prihodki in skupnimi stroški.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Variabilni stroški, ki nastanejo z izdelavo posamezne enote produkta.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Cebelica</author>
  </authors>
  <commentList>
    <comment ref="C5" authorId="0">
      <text>
        <r>
          <rPr>
            <b/>
            <sz val="8"/>
            <rFont val="Tahoma"/>
            <family val="0"/>
          </rPr>
          <t>Leto, ko bo osnovno sredstvo dano v uporabo. Uporabite številke 1-5.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Mesec, ko bo v danem letu osnovno sredstvo dano v uporabo. Uporabite 1-12!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Leto in mesec, ko bo sredstvo popolnoma amortizirano.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Odpis vrednosti v posameznem letu.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Cebelica</author>
  </authors>
  <commentList>
    <comment ref="A4" authorId="0">
      <text>
        <r>
          <rPr>
            <b/>
            <sz val="8"/>
            <rFont val="Tahoma"/>
            <family val="2"/>
          </rPr>
          <t>Višino letne obrestne mere vnesite v %.</t>
        </r>
      </text>
    </comment>
    <comment ref="A5" authorId="0">
      <text>
        <r>
          <rPr>
            <b/>
            <sz val="8"/>
            <rFont val="Tahoma"/>
            <family val="0"/>
          </rPr>
          <t>Povprečno število dni od prejetja blaga s strani dovavitelja ter izvedbo plačila.
Nanaša se na vse stroške (fiksne in variabilne), kakor opredeljeni v "Točki prekoma".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 xml:space="preserve">Povprečno število dni od izdaje blaga / storitve in prejetjem plačila s strani kupcev. 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Povprešno število dni od prejema materiala v skladišče do izdaje izdelkov kupcem - vključuje čas v skladiših in proizvodnji.
Ta postavka se na naša na dni vezave variabilnih stroškov, kakor opredeljeni v "Točki prekoma"</t>
        </r>
      </text>
    </comment>
  </commentList>
</comments>
</file>

<file path=xl/comments5.xml><?xml version="1.0" encoding="utf-8"?>
<comments xmlns="http://schemas.openxmlformats.org/spreadsheetml/2006/main">
  <authors>
    <author>Cebelica</author>
  </authors>
  <commentList>
    <comment ref="A10" authorId="0">
      <text>
        <r>
          <rPr>
            <b/>
            <sz val="8"/>
            <rFont val="Tahoma"/>
            <family val="0"/>
          </rPr>
          <t>Podatki se prepišejo iz zavihka "Osnovna sredstva", razen za zemljišča, kjer se vnee podatke direktno tukaj.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Cebelica</author>
  </authors>
  <commentList>
    <comment ref="A30" authorId="0">
      <text>
        <r>
          <rPr>
            <b/>
            <sz val="8"/>
            <rFont val="Tahoma"/>
            <family val="0"/>
          </rPr>
          <t>Zneski amortizacij se izračunajo samodejno iz zavihka "osnovna sredstva". 
Pod točko 2.5. se lahko vnese popravek glede na že izdelano bilanco.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Podatki se prepišejo iz tabele točke preloma. 
V kolikor imate bilanco že izdelano, popravke med napovedjo in dejanskim stanjem vnesite med druge poslovne prihodke.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<sst xmlns="http://schemas.openxmlformats.org/spreadsheetml/2006/main" count="238" uniqueCount="206">
  <si>
    <t>A. DOLGOROČNA SREDSTVA</t>
  </si>
  <si>
    <t xml:space="preserve">  I. Neopredmetena sredstva in dolgoročne AČR</t>
  </si>
  <si>
    <t xml:space="preserve">    1. Neopredmetena sredstva</t>
  </si>
  <si>
    <t xml:space="preserve">  II. Opredmetena osnovna sredstva</t>
  </si>
  <si>
    <t xml:space="preserve">  III. Naložbene nepremičnine</t>
  </si>
  <si>
    <t xml:space="preserve">  IV. Dolgoročne finančne naložbe</t>
  </si>
  <si>
    <t xml:space="preserve">    2. Dolgoročna posojila</t>
  </si>
  <si>
    <t xml:space="preserve">    1. Dolgoročne fin. naloložbe, razen posojil</t>
  </si>
  <si>
    <t xml:space="preserve">  V. Dolgoročne poslovne terjatve</t>
  </si>
  <si>
    <t xml:space="preserve">  VI. Odložene terjatve za davek</t>
  </si>
  <si>
    <t>B. KRATKOROČNA SREDSTVA</t>
  </si>
  <si>
    <t xml:space="preserve">  I. Sredstva (skupine za odtujitev) za prodajo</t>
  </si>
  <si>
    <t xml:space="preserve">  II. Zaloge</t>
  </si>
  <si>
    <t xml:space="preserve">  III. Kratkoročne finančne naložbe</t>
  </si>
  <si>
    <t xml:space="preserve">    1. Kratkoročne fin. naložbe, razen posojil</t>
  </si>
  <si>
    <t xml:space="preserve">    2. Kratkoročna posojila</t>
  </si>
  <si>
    <t xml:space="preserve">  IV. Kratkoročne poslovne terjatve</t>
  </si>
  <si>
    <t xml:space="preserve">  V. Denarna sredstva</t>
  </si>
  <si>
    <t>C. KRATKOROČNE AKTIVNE ČAS. RAZMEJITVE</t>
  </si>
  <si>
    <t>A. KAPITAL</t>
  </si>
  <si>
    <t xml:space="preserve">  I. Vpoklicni kapital</t>
  </si>
  <si>
    <t xml:space="preserve">    1. Osnovni kapital</t>
  </si>
  <si>
    <t xml:space="preserve">    2. Nevpoklicni kapital (kot odbitna postavka)</t>
  </si>
  <si>
    <t xml:space="preserve">  II. Kapitalske rezerve</t>
  </si>
  <si>
    <t xml:space="preserve">  III. Rezerve iz dobička</t>
  </si>
  <si>
    <t xml:space="preserve">  IV. Presežek iz prevrednotenja</t>
  </si>
  <si>
    <t xml:space="preserve">  VI. Čisti poslovni izid poslovnega leta</t>
  </si>
  <si>
    <t>B. REZERVACIJE IN DOLGOROČNE PČR</t>
  </si>
  <si>
    <t>C. DOLGOROČNE OBVEZNOSTI</t>
  </si>
  <si>
    <t xml:space="preserve">  I. Dolgoročne finančne obveznosti</t>
  </si>
  <si>
    <t xml:space="preserve">  II. Dolgoročne poslovne obveznosti</t>
  </si>
  <si>
    <t xml:space="preserve">  III. Odložene obveznosti za davek</t>
  </si>
  <si>
    <t>Č. KRATKOROČNE OBVEZNOSTI</t>
  </si>
  <si>
    <t xml:space="preserve">  I. Obveznosti, vključene v skupine za odtujitev</t>
  </si>
  <si>
    <t xml:space="preserve">  II. Kratkoročne finančne obveznosti</t>
  </si>
  <si>
    <t xml:space="preserve">  III. Kratkoročne poslovne obveznosti</t>
  </si>
  <si>
    <t>D. KRATKOROČNE PASIVNE ČAS. RAZMEJITVE</t>
  </si>
  <si>
    <t>Leto 1</t>
  </si>
  <si>
    <t>Leto 3</t>
  </si>
  <si>
    <t>Leto 4</t>
  </si>
  <si>
    <t>Leto 2</t>
  </si>
  <si>
    <t>Leto 5</t>
  </si>
  <si>
    <t>BILANCA STANJA NA DAN 31.12.</t>
  </si>
  <si>
    <t xml:space="preserve">    1. Zemljišča</t>
  </si>
  <si>
    <t xml:space="preserve">    1. Dobro ime</t>
  </si>
  <si>
    <t xml:space="preserve">    2. Ostala neopredmetena sredstva</t>
  </si>
  <si>
    <t xml:space="preserve">    3. Dolgoročne aktivne časovne razmejitve</t>
  </si>
  <si>
    <t xml:space="preserve">    2. Poslovni prostori / zgradbe</t>
  </si>
  <si>
    <t xml:space="preserve">    3. Oprema, vozila, mehanizacija</t>
  </si>
  <si>
    <t xml:space="preserve">    4. Računalniki in rač. oprema</t>
  </si>
  <si>
    <t xml:space="preserve">    5. Drugo</t>
  </si>
  <si>
    <t>SREDSTVA (A+B+C)</t>
  </si>
  <si>
    <t xml:space="preserve">  V. Preneseni čisti posl. izid (dobiček / izguba)</t>
  </si>
  <si>
    <t>A. ČISTI PRIHODKI OD PRODAJE</t>
  </si>
  <si>
    <t xml:space="preserve">  I. Čisti prih. od prodaje na domačem trgu</t>
  </si>
  <si>
    <t xml:space="preserve">  II. Čisti prih. od prodaje na trgih EU</t>
  </si>
  <si>
    <t xml:space="preserve">  III. Čisti prih. od prodaje na trgih izven EU</t>
  </si>
  <si>
    <t>B. DRUGI POSLOVNI PRIHODKI</t>
  </si>
  <si>
    <t>C. KOSMATI DONOS IZ POSLOVANJA (A+B)</t>
  </si>
  <si>
    <t>D. POSLOVNI ODHODKI</t>
  </si>
  <si>
    <t xml:space="preserve">  I. Stroški blaga, materiala in storitev</t>
  </si>
  <si>
    <t xml:space="preserve">    1. Nabavna vrednost prodanega blaga in mat.</t>
  </si>
  <si>
    <t xml:space="preserve">    2. Stroški porabljenega materiala</t>
  </si>
  <si>
    <t xml:space="preserve">    3. Stroški storitev</t>
  </si>
  <si>
    <t xml:space="preserve">      3.4. Stroški storitev v zvezi z vzdrževanjem</t>
  </si>
  <si>
    <t xml:space="preserve">      3.1. Stroški promocijskih aktivnosti</t>
  </si>
  <si>
    <t xml:space="preserve">      3.2. Stroški storitev pri izdelavi proizvodov</t>
  </si>
  <si>
    <t xml:space="preserve">      3.5. Stroški najemnin</t>
  </si>
  <si>
    <t xml:space="preserve">  II. Stroški dela</t>
  </si>
  <si>
    <t xml:space="preserve">    1. Stroški plač</t>
  </si>
  <si>
    <t xml:space="preserve">    2. Stroški pokojninskih zavarovanj</t>
  </si>
  <si>
    <t xml:space="preserve">    3. Stroški drugih zavarovanj</t>
  </si>
  <si>
    <t xml:space="preserve">    4. Drugi stroški dela</t>
  </si>
  <si>
    <t xml:space="preserve">  III. Odpisi vrednosti, amortizacija</t>
  </si>
  <si>
    <t xml:space="preserve">    2. Opredmetena osnovna sredstva</t>
  </si>
  <si>
    <t xml:space="preserve">      2.1. Poslovni prostori / zgradbe</t>
  </si>
  <si>
    <t xml:space="preserve">      2.2. Oprema, vozila, mehanizacija</t>
  </si>
  <si>
    <t xml:space="preserve">  IV. Drugi poslovni odhodki</t>
  </si>
  <si>
    <t>F. Finančni prihodki (obresti in deleži)</t>
  </si>
  <si>
    <t>G. Finančni odhodki (obresti in drugi odhodki)</t>
  </si>
  <si>
    <t>H. Drugi prihodki</t>
  </si>
  <si>
    <t>I. Drugi odhodki</t>
  </si>
  <si>
    <t>J. CELOTEN DOBIČEK ali CELOTNA IZGUBA</t>
  </si>
  <si>
    <t>M. ČISTI DOBIČEK ali ČISTA IZGUBA</t>
  </si>
  <si>
    <t xml:space="preserve">      3.6. Stroški izobraževanja</t>
  </si>
  <si>
    <t xml:space="preserve">      3.7. Drugi stroški</t>
  </si>
  <si>
    <t xml:space="preserve">      3.3. Stroški prevoznih storitev in potni str.</t>
  </si>
  <si>
    <t>ANALIZA TOČKE PRELOMA</t>
  </si>
  <si>
    <t>Produkt 1:</t>
  </si>
  <si>
    <t xml:space="preserve">Produkt 2: </t>
  </si>
  <si>
    <t>Mesel leta 1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</si>
  <si>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</si>
  <si>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</si>
  <si>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</si>
  <si>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</si>
  <si>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</si>
  <si>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</si>
  <si>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</si>
  <si>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</si>
  <si>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</si>
  <si>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</si>
  <si>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</si>
  <si>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</si>
  <si>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SKUPAJ leto 1</t>
  </si>
  <si>
    <t>LETO 2</t>
  </si>
  <si>
    <t>LETO 3</t>
  </si>
  <si>
    <t>LETO 4</t>
  </si>
  <si>
    <t>LETO 5</t>
  </si>
  <si>
    <t>Prihodki od prodaje</t>
  </si>
  <si>
    <t>Produkt 3:</t>
  </si>
  <si>
    <t>Variabilni stroški</t>
  </si>
  <si>
    <t>Prispevek za pokritje</t>
  </si>
  <si>
    <t>Skupni stroški</t>
  </si>
  <si>
    <t>Dobiček pred davki - tekoče</t>
  </si>
  <si>
    <t>Opis produkta</t>
  </si>
  <si>
    <t>računovodstvo mali</t>
  </si>
  <si>
    <t>računovodstvo veliki</t>
  </si>
  <si>
    <t>svetovanje 1h</t>
  </si>
  <si>
    <t>Fiksni stroški</t>
  </si>
  <si>
    <t>Delež prodaje izven EU</t>
  </si>
  <si>
    <t xml:space="preserve">      2.4. Drugo</t>
  </si>
  <si>
    <t xml:space="preserve">      2.5. Ostalo (popravek)</t>
  </si>
  <si>
    <t>POSLOVNI IN FINANČNI KAZALNIKI</t>
  </si>
  <si>
    <t>PRIHODKI</t>
  </si>
  <si>
    <t>ODHODKI</t>
  </si>
  <si>
    <t>DOBIČEK</t>
  </si>
  <si>
    <t>DOBIČEK PO DAVKIH</t>
  </si>
  <si>
    <t>DELEŽ KAPITALA V FINANCIRANJU</t>
  </si>
  <si>
    <t>ČISTA DONOSNOST KAPITALA</t>
  </si>
  <si>
    <t>LIKVIDNOST</t>
  </si>
  <si>
    <t>EKONOMIČNOST</t>
  </si>
  <si>
    <t>DOBIČKONOSNOST PRIHODKOV</t>
  </si>
  <si>
    <t>Dolgoročna sredstva</t>
  </si>
  <si>
    <t>Kratkoročna sredstva in KAČR</t>
  </si>
  <si>
    <t>Kapital</t>
  </si>
  <si>
    <t>Dolgoročne obv. in DPČR</t>
  </si>
  <si>
    <t>Kratkoročne obv. in KPČR</t>
  </si>
  <si>
    <t>Domači trg</t>
  </si>
  <si>
    <t>Trg EU</t>
  </si>
  <si>
    <t>Trg izven EU</t>
  </si>
  <si>
    <t>Celotni prihodki</t>
  </si>
  <si>
    <t>Celotni odhodki</t>
  </si>
  <si>
    <t>BILANCA STANJA NA DAN 31.12. - GRAFIČNI PRIKAZI</t>
  </si>
  <si>
    <t>Struktura sredstev</t>
  </si>
  <si>
    <t>Struktura obveznosti do virov sredstev</t>
  </si>
  <si>
    <t xml:space="preserve">OBVEZNOSTI DO VITOV SREDSTEV </t>
  </si>
  <si>
    <t>E. DOBIČEK /IZGUBA IZ POSLOVANJA (C-D)</t>
  </si>
  <si>
    <t>Struktura prihodkov</t>
  </si>
  <si>
    <t>Prihodki in odhodki</t>
  </si>
  <si>
    <t>IZKAZ USPEHA NA DAN 31.12.</t>
  </si>
  <si>
    <t>IZKAZ USPEHA NA DAN 31.12. - GRAFIČNI PRIKAZI</t>
  </si>
  <si>
    <t xml:space="preserve">      2.3. Računalniki in rač. oprema</t>
  </si>
  <si>
    <t>Delež prodaje   v SLO</t>
  </si>
  <si>
    <t>Delež prodaje   v EU</t>
  </si>
  <si>
    <t>Dobiček pred davki -kumulativa</t>
  </si>
  <si>
    <t>Vrednost prodaje SLO</t>
  </si>
  <si>
    <t>Vrednost prodaje EU</t>
  </si>
  <si>
    <t>Vrednost prodaje izven EU</t>
  </si>
  <si>
    <t>FINANČNA PRILOGA</t>
  </si>
  <si>
    <t>K POSLOVNEMU NAČRTU</t>
  </si>
  <si>
    <t>podjetja</t>
  </si>
  <si>
    <t>Kraj in datum:</t>
  </si>
  <si>
    <t>Avtor in lastnik programske zasnove tega finančnega načrta je Skupina Replika</t>
  </si>
  <si>
    <t>www.replika.si   /   info@replika.si   /   Tržaška cesta 42, 1000 Ljubljana   /   tel +386 1 422 8877</t>
  </si>
  <si>
    <t>Sodelujoči pri pripravi tega dokumenta:</t>
  </si>
  <si>
    <t>DENARNI TOKOVI</t>
  </si>
  <si>
    <t>Višina obrestne mere za najeta posojila:</t>
  </si>
  <si>
    <t>Povprečno št. dni poravnave obveznosti do dobaviteljev</t>
  </si>
  <si>
    <t>Povprečno št. dni plačila izdanih računov s strani kupcev</t>
  </si>
  <si>
    <t>Povprečno št. dni vezave zalog materiala</t>
  </si>
  <si>
    <t>Doba vezave denarja</t>
  </si>
  <si>
    <t>Stavba</t>
  </si>
  <si>
    <t>Comp</t>
  </si>
  <si>
    <t>Rač program</t>
  </si>
  <si>
    <t>Leto</t>
  </si>
  <si>
    <t>Mesec</t>
  </si>
  <si>
    <t>Odpis</t>
  </si>
  <si>
    <t>SKUPAJ</t>
  </si>
  <si>
    <t>Osnovno sredstvo (ime, opis)</t>
  </si>
  <si>
    <t>2. Poslovni prostori / zgradbe</t>
  </si>
  <si>
    <t>3. Oprema, vozila, mehanizacija</t>
  </si>
  <si>
    <t>4. Računalniki in rač. oprema</t>
  </si>
  <si>
    <t>5. Drugo</t>
  </si>
  <si>
    <t>OPREDMETENA OSNOVNA SREDSTVA IN AMORTIZACIJA</t>
  </si>
  <si>
    <t>Preostanek</t>
  </si>
  <si>
    <t>Skupina sredstev</t>
  </si>
  <si>
    <t>Konec Amort.</t>
  </si>
  <si>
    <t>Začetek Amo.</t>
  </si>
  <si>
    <t>test</t>
  </si>
  <si>
    <t>TEST</t>
  </si>
  <si>
    <t>K. DAVEK OD DOBIČKA 20%</t>
  </si>
  <si>
    <t>Prodanih enot (kom) produkta 1</t>
  </si>
  <si>
    <t>Prodanih enot (kom) produkta 2</t>
  </si>
  <si>
    <t>Prodanih enot (kom) produkta 3</t>
  </si>
  <si>
    <t>Prodajna cena (€)</t>
  </si>
  <si>
    <t>Stroški na enoto (€)</t>
  </si>
  <si>
    <t>Nabavna cena (€)</t>
  </si>
  <si>
    <t>Stopnja amort %</t>
  </si>
  <si>
    <t>Povprečno letno vezan denar v poslovnem procesu (€)</t>
  </si>
  <si>
    <t xml:space="preserve">   Od tega v terjatvah do kupcev (€)</t>
  </si>
  <si>
    <t xml:space="preserve">   Od tega v zalogah (variabilni stroški proizvodnje) (€)</t>
  </si>
  <si>
    <t>Višina kreditiranja s strani dobaviteljev (€)</t>
  </si>
  <si>
    <t>Potreba po finansiranju tekočega poslovnega procesa (€)</t>
  </si>
  <si>
    <t>Strošek financiranja izvajanja poslovnega procesa (€)</t>
  </si>
  <si>
    <t>Podatki v eur</t>
  </si>
  <si>
    <t>ANALIZA TOČKE PRELOMA - GRAFIČNI PRIKAZI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</si>
</sst>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0_ ;[Red]\-#,##0.00\ "/>
    <numFmt numFmtId="182" formatCode="#,##0.0"/>
    <numFmt numFmtId="183" formatCode="#,##0.000"/>
  </numFmts>
  <fonts count="6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b/>
      <i/>
      <sz val="9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2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9"/>
      <color indexed="55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9.2"/>
      <color indexed="8"/>
      <name val="Tahoma"/>
      <family val="0"/>
    </font>
    <font>
      <sz val="9"/>
      <color indexed="8"/>
      <name val="Tahoma"/>
      <family val="0"/>
    </font>
    <font>
      <sz val="9.7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4" fillId="0" borderId="6" applyNumberFormat="0" applyFill="0" applyAlignment="0" applyProtection="0"/>
    <xf numFmtId="0" fontId="55" fillId="30" borderId="7" applyNumberFormat="0" applyAlignment="0" applyProtection="0"/>
    <xf numFmtId="0" fontId="56" fillId="21" borderId="8" applyNumberFormat="0" applyAlignment="0" applyProtection="0"/>
    <xf numFmtId="0" fontId="5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8" applyNumberFormat="0" applyAlignment="0" applyProtection="0"/>
    <xf numFmtId="0" fontId="59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 horizontal="right"/>
      <protection/>
    </xf>
    <xf numFmtId="180" fontId="7" fillId="0" borderId="10" xfId="0" applyNumberFormat="1" applyFont="1" applyFill="1" applyBorder="1" applyAlignment="1" applyProtection="1">
      <alignment horizontal="right"/>
      <protection/>
    </xf>
    <xf numFmtId="180" fontId="7" fillId="0" borderId="10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 horizontal="right"/>
      <protection/>
    </xf>
    <xf numFmtId="180" fontId="9" fillId="0" borderId="0" xfId="0" applyNumberFormat="1" applyFont="1" applyFill="1" applyBorder="1" applyAlignment="1" applyProtection="1">
      <alignment horizontal="right" wrapText="1"/>
      <protection/>
    </xf>
    <xf numFmtId="180" fontId="8" fillId="0" borderId="0" xfId="0" applyNumberFormat="1" applyFont="1" applyFill="1" applyBorder="1" applyAlignment="1" applyProtection="1">
      <alignment horizontal="right"/>
      <protection/>
    </xf>
    <xf numFmtId="180" fontId="10" fillId="0" borderId="1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horizontal="right"/>
      <protection/>
    </xf>
    <xf numFmtId="9" fontId="7" fillId="0" borderId="1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80" fontId="7" fillId="0" borderId="0" xfId="0" applyNumberFormat="1" applyFont="1" applyAlignment="1" applyProtection="1">
      <alignment horizontal="right"/>
      <protection/>
    </xf>
    <xf numFmtId="0" fontId="10" fillId="0" borderId="10" xfId="0" applyFont="1" applyBorder="1" applyAlignment="1" applyProtection="1">
      <alignment/>
      <protection/>
    </xf>
    <xf numFmtId="180" fontId="10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 horizontal="right" wrapText="1"/>
      <protection/>
    </xf>
    <xf numFmtId="3" fontId="7" fillId="0" borderId="0" xfId="0" applyNumberFormat="1" applyFont="1" applyAlignment="1" applyProtection="1">
      <alignment horizontal="right"/>
      <protection/>
    </xf>
    <xf numFmtId="3" fontId="7" fillId="0" borderId="10" xfId="0" applyNumberFormat="1" applyFont="1" applyBorder="1" applyAlignment="1" applyProtection="1">
      <alignment horizontal="right" wrapText="1"/>
      <protection/>
    </xf>
    <xf numFmtId="3" fontId="7" fillId="0" borderId="1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/>
      <protection/>
    </xf>
    <xf numFmtId="3" fontId="7" fillId="33" borderId="10" xfId="0" applyNumberFormat="1" applyFont="1" applyFill="1" applyBorder="1" applyAlignment="1" applyProtection="1">
      <alignment/>
      <protection locked="0"/>
    </xf>
    <xf numFmtId="180" fontId="7" fillId="33" borderId="11" xfId="0" applyNumberFormat="1" applyFont="1" applyFill="1" applyBorder="1" applyAlignment="1" applyProtection="1">
      <alignment/>
      <protection locked="0"/>
    </xf>
    <xf numFmtId="9" fontId="7" fillId="33" borderId="11" xfId="0" applyNumberFormat="1" applyFont="1" applyFill="1" applyBorder="1" applyAlignment="1" applyProtection="1">
      <alignment/>
      <protection locked="0"/>
    </xf>
    <xf numFmtId="180" fontId="7" fillId="33" borderId="10" xfId="0" applyNumberFormat="1" applyFont="1" applyFill="1" applyBorder="1" applyAlignment="1" applyProtection="1">
      <alignment/>
      <protection locked="0"/>
    </xf>
    <xf numFmtId="9" fontId="7" fillId="33" borderId="10" xfId="0" applyNumberFormat="1" applyFont="1" applyFill="1" applyBorder="1" applyAlignment="1" applyProtection="1">
      <alignment/>
      <protection locked="0"/>
    </xf>
    <xf numFmtId="180" fontId="7" fillId="33" borderId="12" xfId="0" applyNumberFormat="1" applyFont="1" applyFill="1" applyBorder="1" applyAlignment="1" applyProtection="1">
      <alignment/>
      <protection locked="0"/>
    </xf>
    <xf numFmtId="9" fontId="7" fillId="33" borderId="12" xfId="0" applyNumberFormat="1" applyFont="1" applyFill="1" applyBorder="1" applyAlignment="1" applyProtection="1">
      <alignment/>
      <protection locked="0"/>
    </xf>
    <xf numFmtId="10" fontId="7" fillId="33" borderId="10" xfId="0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right" wrapText="1"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3" fontId="7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wrapText="1"/>
      <protection/>
    </xf>
    <xf numFmtId="0" fontId="7" fillId="0" borderId="15" xfId="0" applyFont="1" applyBorder="1" applyAlignment="1" applyProtection="1">
      <alignment horizontal="right" wrapText="1"/>
      <protection/>
    </xf>
    <xf numFmtId="0" fontId="7" fillId="0" borderId="16" xfId="0" applyFont="1" applyBorder="1" applyAlignment="1" applyProtection="1">
      <alignment horizontal="right" wrapText="1"/>
      <protection/>
    </xf>
    <xf numFmtId="0" fontId="7" fillId="0" borderId="17" xfId="0" applyFont="1" applyBorder="1" applyAlignment="1" applyProtection="1">
      <alignment/>
      <protection/>
    </xf>
    <xf numFmtId="9" fontId="7" fillId="0" borderId="11" xfId="0" applyNumberFormat="1" applyFont="1" applyFill="1" applyBorder="1" applyAlignment="1" applyProtection="1">
      <alignment/>
      <protection/>
    </xf>
    <xf numFmtId="180" fontId="7" fillId="0" borderId="11" xfId="0" applyNumberFormat="1" applyFont="1" applyBorder="1" applyAlignment="1" applyProtection="1">
      <alignment/>
      <protection/>
    </xf>
    <xf numFmtId="180" fontId="6" fillId="0" borderId="18" xfId="0" applyNumberFormat="1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9" fontId="7" fillId="0" borderId="10" xfId="0" applyNumberFormat="1" applyFont="1" applyFill="1" applyBorder="1" applyAlignment="1" applyProtection="1">
      <alignment/>
      <protection/>
    </xf>
    <xf numFmtId="180" fontId="6" fillId="0" borderId="20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9" fontId="7" fillId="0" borderId="12" xfId="0" applyNumberFormat="1" applyFont="1" applyFill="1" applyBorder="1" applyAlignment="1" applyProtection="1">
      <alignment/>
      <protection/>
    </xf>
    <xf numFmtId="180" fontId="7" fillId="0" borderId="12" xfId="0" applyNumberFormat="1" applyFont="1" applyBorder="1" applyAlignment="1" applyProtection="1">
      <alignment/>
      <protection/>
    </xf>
    <xf numFmtId="180" fontId="6" fillId="0" borderId="22" xfId="0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/>
      <protection/>
    </xf>
    <xf numFmtId="9" fontId="6" fillId="0" borderId="11" xfId="0" applyNumberFormat="1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right"/>
      <protection locked="0"/>
    </xf>
    <xf numFmtId="3" fontId="7" fillId="33" borderId="10" xfId="0" applyNumberFormat="1" applyFont="1" applyFill="1" applyBorder="1" applyAlignment="1" applyProtection="1">
      <alignment horizontal="right"/>
      <protection locked="0"/>
    </xf>
    <xf numFmtId="10" fontId="7" fillId="33" borderId="10" xfId="0" applyNumberFormat="1" applyFont="1" applyFill="1" applyBorder="1" applyAlignment="1" applyProtection="1">
      <alignment horizontal="right"/>
      <protection locked="0"/>
    </xf>
    <xf numFmtId="0" fontId="7" fillId="33" borderId="23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right"/>
      <protection locked="0"/>
    </xf>
    <xf numFmtId="3" fontId="7" fillId="33" borderId="24" xfId="0" applyNumberFormat="1" applyFont="1" applyFill="1" applyBorder="1" applyAlignment="1" applyProtection="1">
      <alignment horizontal="right"/>
      <protection locked="0"/>
    </xf>
    <xf numFmtId="10" fontId="7" fillId="33" borderId="24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/>
    </xf>
    <xf numFmtId="10" fontId="7" fillId="0" borderId="10" xfId="0" applyNumberFormat="1" applyFont="1" applyBorder="1" applyAlignment="1" applyProtection="1">
      <alignment horizontal="right"/>
      <protection/>
    </xf>
    <xf numFmtId="1" fontId="7" fillId="0" borderId="10" xfId="0" applyNumberFormat="1" applyFont="1" applyBorder="1" applyAlignment="1" applyProtection="1">
      <alignment horizontal="right"/>
      <protection/>
    </xf>
    <xf numFmtId="1" fontId="7" fillId="0" borderId="24" xfId="0" applyNumberFormat="1" applyFont="1" applyBorder="1" applyAlignment="1" applyProtection="1">
      <alignment horizontal="right"/>
      <protection/>
    </xf>
    <xf numFmtId="3" fontId="7" fillId="0" borderId="24" xfId="0" applyNumberFormat="1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right"/>
      <protection/>
    </xf>
    <xf numFmtId="3" fontId="7" fillId="0" borderId="11" xfId="0" applyNumberFormat="1" applyFont="1" applyBorder="1" applyAlignment="1" applyProtection="1">
      <alignment horizontal="right"/>
      <protection/>
    </xf>
    <xf numFmtId="10" fontId="7" fillId="0" borderId="11" xfId="0" applyNumberFormat="1" applyFont="1" applyBorder="1" applyAlignment="1" applyProtection="1">
      <alignment horizontal="right"/>
      <protection/>
    </xf>
    <xf numFmtId="1" fontId="7" fillId="0" borderId="11" xfId="0" applyNumberFormat="1" applyFont="1" applyBorder="1" applyAlignment="1" applyProtection="1">
      <alignment horizontal="right"/>
      <protection/>
    </xf>
    <xf numFmtId="3" fontId="7" fillId="0" borderId="18" xfId="0" applyNumberFormat="1" applyFont="1" applyBorder="1" applyAlignment="1" applyProtection="1">
      <alignment horizontal="right"/>
      <protection/>
    </xf>
    <xf numFmtId="3" fontId="7" fillId="0" borderId="20" xfId="0" applyNumberFormat="1" applyFont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10" fontId="6" fillId="0" borderId="12" xfId="0" applyNumberFormat="1" applyFont="1" applyBorder="1" applyAlignment="1" applyProtection="1">
      <alignment horizontal="right"/>
      <protection/>
    </xf>
    <xf numFmtId="1" fontId="6" fillId="0" borderId="12" xfId="0" applyNumberFormat="1" applyFont="1" applyBorder="1" applyAlignment="1" applyProtection="1">
      <alignment horizontal="right"/>
      <protection/>
    </xf>
    <xf numFmtId="3" fontId="6" fillId="0" borderId="22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 vertical="top" wrapText="1"/>
      <protection/>
    </xf>
    <xf numFmtId="3" fontId="11" fillId="0" borderId="0" xfId="0" applyNumberFormat="1" applyFont="1" applyAlignment="1" applyProtection="1">
      <alignment horizontal="left" vertical="top" wrapText="1"/>
      <protection/>
    </xf>
    <xf numFmtId="10" fontId="11" fillId="0" borderId="0" xfId="0" applyNumberFormat="1" applyFont="1" applyBorder="1" applyAlignment="1" applyProtection="1">
      <alignment horizontal="left" vertical="top" wrapText="1"/>
      <protection/>
    </xf>
    <xf numFmtId="1" fontId="11" fillId="0" borderId="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horizontal="right"/>
      <protection/>
    </xf>
    <xf numFmtId="10" fontId="7" fillId="0" borderId="0" xfId="0" applyNumberFormat="1" applyFont="1" applyBorder="1" applyAlignment="1" applyProtection="1">
      <alignment horizontal="right"/>
      <protection/>
    </xf>
    <xf numFmtId="1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right"/>
      <protection/>
    </xf>
    <xf numFmtId="0" fontId="7" fillId="33" borderId="17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right"/>
      <protection locked="0"/>
    </xf>
    <xf numFmtId="3" fontId="7" fillId="33" borderId="11" xfId="0" applyNumberFormat="1" applyFont="1" applyFill="1" applyBorder="1" applyAlignment="1" applyProtection="1">
      <alignment horizontal="right"/>
      <protection locked="0"/>
    </xf>
    <xf numFmtId="10" fontId="7" fillId="33" borderId="11" xfId="0" applyNumberFormat="1" applyFont="1" applyFill="1" applyBorder="1" applyAlignment="1" applyProtection="1">
      <alignment horizontal="right"/>
      <protection locked="0"/>
    </xf>
    <xf numFmtId="1" fontId="7" fillId="0" borderId="12" xfId="0" applyNumberFormat="1" applyFont="1" applyBorder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 horizontal="right"/>
      <protection/>
    </xf>
    <xf numFmtId="3" fontId="7" fillId="0" borderId="22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1" fontId="7" fillId="0" borderId="25" xfId="0" applyNumberFormat="1" applyFont="1" applyBorder="1" applyAlignment="1" applyProtection="1">
      <alignment horizontal="right"/>
      <protection/>
    </xf>
    <xf numFmtId="1" fontId="7" fillId="0" borderId="26" xfId="0" applyNumberFormat="1" applyFont="1" applyBorder="1" applyAlignment="1" applyProtection="1">
      <alignment horizontal="right"/>
      <protection/>
    </xf>
    <xf numFmtId="3" fontId="7" fillId="0" borderId="27" xfId="0" applyNumberFormat="1" applyFont="1" applyBorder="1" applyAlignment="1" applyProtection="1">
      <alignment horizontal="right"/>
      <protection/>
    </xf>
    <xf numFmtId="3" fontId="7" fillId="0" borderId="28" xfId="0" applyNumberFormat="1" applyFont="1" applyBorder="1" applyAlignment="1" applyProtection="1">
      <alignment horizontal="right"/>
      <protection/>
    </xf>
    <xf numFmtId="3" fontId="7" fillId="0" borderId="17" xfId="0" applyNumberFormat="1" applyFont="1" applyBorder="1" applyAlignment="1" applyProtection="1">
      <alignment horizontal="right"/>
      <protection/>
    </xf>
    <xf numFmtId="3" fontId="7" fillId="0" borderId="19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1" fontId="6" fillId="0" borderId="29" xfId="0" applyNumberFormat="1" applyFont="1" applyBorder="1" applyAlignment="1" applyProtection="1">
      <alignment horizontal="right"/>
      <protection/>
    </xf>
    <xf numFmtId="3" fontId="7" fillId="0" borderId="23" xfId="0" applyNumberFormat="1" applyFont="1" applyBorder="1" applyAlignment="1" applyProtection="1">
      <alignment horizontal="right"/>
      <protection/>
    </xf>
    <xf numFmtId="3" fontId="7" fillId="0" borderId="30" xfId="0" applyNumberFormat="1" applyFont="1" applyBorder="1" applyAlignment="1" applyProtection="1">
      <alignment horizontal="right"/>
      <protection/>
    </xf>
    <xf numFmtId="3" fontId="7" fillId="0" borderId="31" xfId="0" applyNumberFormat="1" applyFont="1" applyBorder="1" applyAlignment="1" applyProtection="1">
      <alignment horizontal="right"/>
      <protection/>
    </xf>
    <xf numFmtId="4" fontId="20" fillId="0" borderId="0" xfId="0" applyNumberFormat="1" applyFont="1" applyBorder="1" applyAlignment="1" applyProtection="1">
      <alignment horizontal="right" wrapText="1"/>
      <protection/>
    </xf>
    <xf numFmtId="0" fontId="11" fillId="0" borderId="0" xfId="0" applyFont="1" applyAlignment="1" applyProtection="1">
      <alignment horizontal="left"/>
      <protection/>
    </xf>
    <xf numFmtId="180" fontId="7" fillId="33" borderId="10" xfId="0" applyNumberFormat="1" applyFont="1" applyFill="1" applyBorder="1" applyAlignment="1" applyProtection="1">
      <alignment horizontal="right"/>
      <protection locked="0"/>
    </xf>
    <xf numFmtId="0" fontId="18" fillId="34" borderId="0" xfId="0" applyFont="1" applyFill="1" applyBorder="1" applyAlignment="1" applyProtection="1">
      <alignment vertical="center"/>
      <protection/>
    </xf>
    <xf numFmtId="180" fontId="18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8" fillId="34" borderId="0" xfId="0" applyFont="1" applyFill="1" applyAlignment="1" applyProtection="1">
      <alignment vertical="center"/>
      <protection/>
    </xf>
    <xf numFmtId="0" fontId="19" fillId="34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0" fontId="17" fillId="34" borderId="0" xfId="0" applyFont="1" applyFill="1" applyBorder="1" applyAlignment="1" applyProtection="1">
      <alignment horizontal="right" vertical="center"/>
      <protection/>
    </xf>
    <xf numFmtId="180" fontId="17" fillId="34" borderId="0" xfId="0" applyNumberFormat="1" applyFont="1" applyFill="1" applyBorder="1" applyAlignment="1" applyProtection="1">
      <alignment horizontal="right" vertical="center"/>
      <protection/>
    </xf>
    <xf numFmtId="3" fontId="17" fillId="34" borderId="0" xfId="0" applyNumberFormat="1" applyFont="1" applyFill="1" applyBorder="1" applyAlignment="1" applyProtection="1">
      <alignment horizontal="right" vertical="center"/>
      <protection/>
    </xf>
    <xf numFmtId="10" fontId="17" fillId="34" borderId="0" xfId="0" applyNumberFormat="1" applyFont="1" applyFill="1" applyBorder="1" applyAlignment="1" applyProtection="1">
      <alignment horizontal="right" vertical="center"/>
      <protection/>
    </xf>
    <xf numFmtId="1" fontId="17" fillId="34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" fontId="7" fillId="0" borderId="32" xfId="0" applyNumberFormat="1" applyFont="1" applyBorder="1" applyAlignment="1" applyProtection="1">
      <alignment horizontal="right"/>
      <protection/>
    </xf>
    <xf numFmtId="180" fontId="6" fillId="33" borderId="10" xfId="0" applyNumberFormat="1" applyFont="1" applyFill="1" applyBorder="1" applyAlignment="1" applyProtection="1">
      <alignment horizontal="right"/>
      <protection locked="0"/>
    </xf>
    <xf numFmtId="180" fontId="18" fillId="34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/>
      <protection locked="0"/>
    </xf>
    <xf numFmtId="0" fontId="7" fillId="0" borderId="3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 horizontal="right"/>
      <protection/>
    </xf>
    <xf numFmtId="3" fontId="7" fillId="0" borderId="15" xfId="0" applyNumberFormat="1" applyFont="1" applyBorder="1" applyAlignment="1" applyProtection="1">
      <alignment horizontal="right" wrapText="1"/>
      <protection/>
    </xf>
    <xf numFmtId="0" fontId="0" fillId="0" borderId="34" xfId="0" applyBorder="1" applyAlignment="1">
      <alignment horizontal="right" wrapText="1"/>
    </xf>
    <xf numFmtId="10" fontId="7" fillId="0" borderId="15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Gibanje prihodkov in stroškov - leto 1 po mesecih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75"/>
          <c:w val="0.772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'Tocka preloma'!$H$11</c:f>
              <c:strCache>
                <c:ptCount val="1"/>
                <c:pt idx="0">
                  <c:v>Prihodki od prodaje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'Tocka preloma'!$A$12:$A$23</c:f>
              <c:strCache/>
            </c:strRef>
          </c:cat>
          <c:val>
            <c:numRef>
              <c:f>'Tocka preloma'!$H$12:$H$23</c:f>
              <c:numCache/>
            </c:numRef>
          </c:val>
          <c:smooth val="0"/>
        </c:ser>
        <c:ser>
          <c:idx val="1"/>
          <c:order val="1"/>
          <c:tx>
            <c:strRef>
              <c:f>'Tocka preloma'!$K$11</c:f>
              <c:strCache>
                <c:ptCount val="1"/>
                <c:pt idx="0">
                  <c:v>Skupni stroški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'Tocka preloma'!$K$12:$K$23</c:f>
              <c:numCache/>
            </c:numRef>
          </c:val>
          <c:smooth val="0"/>
        </c:ser>
        <c:marker val="1"/>
        <c:axId val="25599983"/>
        <c:axId val="29073256"/>
      </c:lineChart>
      <c:catAx>
        <c:axId val="2559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3256"/>
        <c:crosses val="autoZero"/>
        <c:auto val="1"/>
        <c:lblOffset val="100"/>
        <c:tickLblSkip val="1"/>
        <c:noMultiLvlLbl val="0"/>
      </c:catAx>
      <c:valAx>
        <c:axId val="29073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9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3475"/>
          <c:w val="0.1942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Gibanje prihodkov in stroškov - po letih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455"/>
          <c:w val="0.7712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'Tocka preloma'!$H$11</c:f>
              <c:strCache>
                <c:ptCount val="1"/>
                <c:pt idx="0">
                  <c:v>Prihodki od prodaje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'Tocka preloma'!$A$24:$A$28</c:f>
              <c:strCache/>
            </c:strRef>
          </c:cat>
          <c:val>
            <c:numRef>
              <c:f>'Tocka preloma'!$H$24:$H$28</c:f>
              <c:numCache/>
            </c:numRef>
          </c:val>
          <c:smooth val="0"/>
        </c:ser>
        <c:ser>
          <c:idx val="1"/>
          <c:order val="1"/>
          <c:tx>
            <c:strRef>
              <c:f>'Tocka preloma'!$K$11</c:f>
              <c:strCache>
                <c:ptCount val="1"/>
                <c:pt idx="0">
                  <c:v>Skupni stroški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'Tocka preloma'!$A$24:$A$28</c:f>
              <c:strCache/>
            </c:strRef>
          </c:cat>
          <c:val>
            <c:numRef>
              <c:f>'Tocka preloma'!$K$24:$K$28</c:f>
              <c:numCache/>
            </c:numRef>
          </c:val>
          <c:smooth val="0"/>
        </c:ser>
        <c:marker val="1"/>
        <c:axId val="60332713"/>
        <c:axId val="6123506"/>
      </c:lineChart>
      <c:catAx>
        <c:axId val="60332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3506"/>
        <c:crosses val="autoZero"/>
        <c:auto val="1"/>
        <c:lblOffset val="100"/>
        <c:tickLblSkip val="1"/>
        <c:noMultiLvlLbl val="0"/>
      </c:catAx>
      <c:valAx>
        <c:axId val="612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32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30725"/>
          <c:w val="0.19375"/>
          <c:h val="0.4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obveznosti do virov sredstev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"/>
          <c:y val="0.19375"/>
          <c:w val="0.775"/>
          <c:h val="0.76025"/>
        </c:manualLayout>
      </c:layout>
      <c:bar3DChart>
        <c:barDir val="col"/>
        <c:grouping val="percentStacked"/>
        <c:varyColors val="0"/>
        <c:ser>
          <c:idx val="4"/>
          <c:order val="0"/>
          <c:tx>
            <c:strRef>
              <c:f>'Bilanca Stanja'!$A$86</c:f>
              <c:strCache>
                <c:ptCount val="1"/>
                <c:pt idx="0">
                  <c:v>Kratkoročne obv. in KPČR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'Bilanca Stanja'!$B$3:$F$3</c:f>
              <c:strCache/>
            </c:strRef>
          </c:cat>
          <c:val>
            <c:numRef>
              <c:f>'Bilanca Stanja'!$B$86:$F$86</c:f>
              <c:numCache/>
            </c:numRef>
          </c:val>
          <c:shape val="box"/>
        </c:ser>
        <c:ser>
          <c:idx val="3"/>
          <c:order val="1"/>
          <c:tx>
            <c:strRef>
              <c:f>'Bilanca Stanja'!$A$85</c:f>
              <c:strCache>
                <c:ptCount val="1"/>
                <c:pt idx="0">
                  <c:v>Dolgoročne obv. in DPČR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'Bilanca Stanja'!$B$3:$F$3</c:f>
              <c:strCache/>
            </c:strRef>
          </c:cat>
          <c:val>
            <c:numRef>
              <c:f>'Bilanca Stanja'!$B$85:$F$85</c:f>
              <c:numCache/>
            </c:numRef>
          </c:val>
          <c:shape val="box"/>
        </c:ser>
        <c:ser>
          <c:idx val="2"/>
          <c:order val="2"/>
          <c:tx>
            <c:strRef>
              <c:f>'Bilanca Stanja'!$A$84</c:f>
              <c:strCache>
                <c:ptCount val="1"/>
                <c:pt idx="0">
                  <c:v>Kapital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'Bilanca Stanja'!$B$3:$F$3</c:f>
              <c:strCache/>
            </c:strRef>
          </c:cat>
          <c:val>
            <c:numRef>
              <c:f>'Bilanca Stanja'!$B$84:$F$84</c:f>
              <c:numCache/>
            </c:numRef>
          </c:val>
          <c:shape val="box"/>
        </c:ser>
        <c:overlap val="100"/>
        <c:shape val="box"/>
        <c:axId val="55111555"/>
        <c:axId val="26241948"/>
      </c:bar3DChart>
      <c:catAx>
        <c:axId val="551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241948"/>
        <c:crosses val="autoZero"/>
        <c:auto val="1"/>
        <c:lblOffset val="100"/>
        <c:tickLblSkip val="1"/>
        <c:noMultiLvlLbl val="0"/>
      </c:catAx>
      <c:valAx>
        <c:axId val="26241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5"/>
          <c:y val="0.2765"/>
          <c:w val="0.18925"/>
          <c:h val="0.5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sredstev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"/>
          <c:y val="0.16625"/>
          <c:w val="0.811"/>
          <c:h val="0.79525"/>
        </c:manualLayout>
      </c:layout>
      <c:bar3DChart>
        <c:barDir val="col"/>
        <c:grouping val="percentStacked"/>
        <c:varyColors val="0"/>
        <c:ser>
          <c:idx val="1"/>
          <c:order val="0"/>
          <c:tx>
            <c:strRef>
              <c:f>'Bilanca Stanja'!$A$60</c:f>
              <c:strCache>
                <c:ptCount val="1"/>
                <c:pt idx="0">
                  <c:v>Kratkoročna sredstva in KAČR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'Bilanca Stanja'!$B$3:$F$3</c:f>
              <c:strCache/>
            </c:strRef>
          </c:cat>
          <c:val>
            <c:numRef>
              <c:f>'Bilanca Stanja'!$B$60:$F$60</c:f>
              <c:numCache/>
            </c:numRef>
          </c:val>
          <c:shape val="box"/>
        </c:ser>
        <c:ser>
          <c:idx val="0"/>
          <c:order val="1"/>
          <c:tx>
            <c:strRef>
              <c:f>'Bilanca Stanja'!$A$59</c:f>
              <c:strCache>
                <c:ptCount val="1"/>
                <c:pt idx="0">
                  <c:v>Dolgoročna sredstva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'Bilanca Stanja'!$B$3:$F$3</c:f>
              <c:strCache/>
            </c:strRef>
          </c:cat>
          <c:val>
            <c:numRef>
              <c:f>'Bilanca Stanja'!$B$59:$F$59</c:f>
              <c:numCache/>
            </c:numRef>
          </c:val>
          <c:shape val="box"/>
        </c:ser>
        <c:overlap val="100"/>
        <c:shape val="box"/>
        <c:axId val="34850941"/>
        <c:axId val="45223014"/>
      </c:bar3DChart>
      <c:catAx>
        <c:axId val="3485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23014"/>
        <c:crosses val="autoZero"/>
        <c:auto val="1"/>
        <c:lblOffset val="100"/>
        <c:tickLblSkip val="1"/>
        <c:noMultiLvlLbl val="0"/>
      </c:catAx>
      <c:valAx>
        <c:axId val="45223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09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"/>
          <c:y val="0.332"/>
          <c:w val="0.16425"/>
          <c:h val="0.4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prihodkov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"/>
          <c:y val="0.174"/>
          <c:w val="0.8445"/>
          <c:h val="0.826"/>
        </c:manualLayout>
      </c:layout>
      <c:bar3DChart>
        <c:barDir val="col"/>
        <c:grouping val="percentStacked"/>
        <c:varyColors val="0"/>
        <c:ser>
          <c:idx val="4"/>
          <c:order val="0"/>
          <c:tx>
            <c:strRef>
              <c:f>'Izkaz Uspeha'!$A$56</c:f>
              <c:strCache>
                <c:ptCount val="1"/>
                <c:pt idx="0">
                  <c:v>Trg izven EU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'Bilanca Stanja'!$B$3:$F$3</c:f>
              <c:strCache>
                <c:ptCount val="5"/>
                <c:pt idx="0">
                  <c:v>Leto 1</c:v>
                </c:pt>
                <c:pt idx="1">
                  <c:v>Leto 2</c:v>
                </c:pt>
                <c:pt idx="2">
                  <c:v>Leto 3</c:v>
                </c:pt>
                <c:pt idx="3">
                  <c:v>Leto 4</c:v>
                </c:pt>
                <c:pt idx="4">
                  <c:v>Leto 5</c:v>
                </c:pt>
              </c:strCache>
            </c:strRef>
          </c:cat>
          <c:val>
            <c:numRef>
              <c:f>'Izkaz Uspeha'!$B$56:$F$56</c:f>
              <c:numCache/>
            </c:numRef>
          </c:val>
          <c:shape val="box"/>
        </c:ser>
        <c:ser>
          <c:idx val="3"/>
          <c:order val="1"/>
          <c:tx>
            <c:strRef>
              <c:f>'Izkaz Uspeha'!$A$55</c:f>
              <c:strCache>
                <c:ptCount val="1"/>
                <c:pt idx="0">
                  <c:v>Trg EU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'Bilanca Stanja'!$B$3:$F$3</c:f>
              <c:strCache>
                <c:ptCount val="5"/>
                <c:pt idx="0">
                  <c:v>Leto 1</c:v>
                </c:pt>
                <c:pt idx="1">
                  <c:v>Leto 2</c:v>
                </c:pt>
                <c:pt idx="2">
                  <c:v>Leto 3</c:v>
                </c:pt>
                <c:pt idx="3">
                  <c:v>Leto 4</c:v>
                </c:pt>
                <c:pt idx="4">
                  <c:v>Leto 5</c:v>
                </c:pt>
              </c:strCache>
            </c:strRef>
          </c:cat>
          <c:val>
            <c:numRef>
              <c:f>'Izkaz Uspeha'!$B$55:$F$55</c:f>
              <c:numCache/>
            </c:numRef>
          </c:val>
          <c:shape val="box"/>
        </c:ser>
        <c:ser>
          <c:idx val="2"/>
          <c:order val="2"/>
          <c:tx>
            <c:strRef>
              <c:f>'Izkaz Uspeha'!$A$54</c:f>
              <c:strCache>
                <c:ptCount val="1"/>
                <c:pt idx="0">
                  <c:v>Domači trg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'Bilanca Stanja'!$B$3:$F$3</c:f>
              <c:strCache>
                <c:ptCount val="5"/>
                <c:pt idx="0">
                  <c:v>Leto 1</c:v>
                </c:pt>
                <c:pt idx="1">
                  <c:v>Leto 2</c:v>
                </c:pt>
                <c:pt idx="2">
                  <c:v>Leto 3</c:v>
                </c:pt>
                <c:pt idx="3">
                  <c:v>Leto 4</c:v>
                </c:pt>
                <c:pt idx="4">
                  <c:v>Leto 5</c:v>
                </c:pt>
              </c:strCache>
            </c:strRef>
          </c:cat>
          <c:val>
            <c:numRef>
              <c:f>'Izkaz Uspeha'!$B$54:$F$54</c:f>
              <c:numCache/>
            </c:numRef>
          </c:val>
          <c:shape val="box"/>
        </c:ser>
        <c:overlap val="100"/>
        <c:shape val="box"/>
        <c:axId val="4353943"/>
        <c:axId val="39185488"/>
      </c:bar3DChart>
      <c:catAx>
        <c:axId val="4353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185488"/>
        <c:crosses val="autoZero"/>
        <c:auto val="1"/>
        <c:lblOffset val="100"/>
        <c:tickLblSkip val="1"/>
        <c:noMultiLvlLbl val="0"/>
      </c:catAx>
      <c:valAx>
        <c:axId val="39185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9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845"/>
          <c:w val="0.1475"/>
          <c:h val="0.3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Gibanje prihodkov in odhodkov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75"/>
          <c:w val="0.821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'Izkaz Uspeha'!$A$79</c:f>
              <c:strCache>
                <c:ptCount val="1"/>
                <c:pt idx="0">
                  <c:v>Celotni prihodki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'Izkaz Uspeha'!$B$3:$F$3</c:f>
              <c:strCache/>
            </c:strRef>
          </c:cat>
          <c:val>
            <c:numRef>
              <c:f>'Izkaz Uspeha'!$B$79:$F$79</c:f>
              <c:numCache/>
            </c:numRef>
          </c:val>
          <c:smooth val="0"/>
        </c:ser>
        <c:ser>
          <c:idx val="1"/>
          <c:order val="1"/>
          <c:tx>
            <c:strRef>
              <c:f>'Izkaz Uspeha'!$A$80</c:f>
              <c:strCache>
                <c:ptCount val="1"/>
                <c:pt idx="0">
                  <c:v>Celotni odhodki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'Izkaz Uspeha'!$B$80:$F$80</c:f>
              <c:numCache/>
            </c:numRef>
          </c:val>
          <c:smooth val="0"/>
        </c:ser>
        <c:marker val="1"/>
        <c:axId val="17125073"/>
        <c:axId val="19907930"/>
      </c:lineChart>
      <c:catAx>
        <c:axId val="1712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907930"/>
        <c:crosses val="autoZero"/>
        <c:auto val="1"/>
        <c:lblOffset val="100"/>
        <c:tickLblSkip val="1"/>
        <c:noMultiLvlLbl val="0"/>
      </c:catAx>
      <c:valAx>
        <c:axId val="19907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1250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47"/>
          <c:w val="0.164"/>
          <c:h val="0.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Dobičkonosnost prihodkov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66"/>
          <c:w val="0.9685"/>
          <c:h val="0.7955"/>
        </c:manualLayout>
      </c:layout>
      <c:lineChart>
        <c:grouping val="stacked"/>
        <c:varyColors val="0"/>
        <c:ser>
          <c:idx val="0"/>
          <c:order val="0"/>
          <c:tx>
            <c:v>esgr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Kazalniki!$B$3:$F$3</c:f>
              <c:strCache/>
            </c:strRef>
          </c:cat>
          <c:val>
            <c:numRef>
              <c:f>Kazalniki!$B$14:$F$14</c:f>
              <c:numCache/>
            </c:numRef>
          </c:val>
          <c:smooth val="0"/>
        </c:ser>
        <c:marker val="1"/>
        <c:axId val="44953643"/>
        <c:axId val="1929604"/>
      </c:lineChart>
      <c:catAx>
        <c:axId val="449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604"/>
        <c:crosses val="autoZero"/>
        <c:auto val="1"/>
        <c:lblOffset val="100"/>
        <c:tickLblSkip val="1"/>
        <c:noMultiLvlLbl val="0"/>
      </c:catAx>
      <c:valAx>
        <c:axId val="1929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53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32</xdr:row>
      <xdr:rowOff>123825</xdr:rowOff>
    </xdr:from>
    <xdr:to>
      <xdr:col>7</xdr:col>
      <xdr:colOff>514350</xdr:colOff>
      <xdr:row>46</xdr:row>
      <xdr:rowOff>9525</xdr:rowOff>
    </xdr:to>
    <xdr:graphicFrame>
      <xdr:nvGraphicFramePr>
        <xdr:cNvPr id="1" name="Chart 14"/>
        <xdr:cNvGraphicFramePr/>
      </xdr:nvGraphicFramePr>
      <xdr:xfrm>
        <a:off x="352425" y="6124575"/>
        <a:ext cx="49911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47</xdr:row>
      <xdr:rowOff>76200</xdr:rowOff>
    </xdr:from>
    <xdr:to>
      <xdr:col>7</xdr:col>
      <xdr:colOff>504825</xdr:colOff>
      <xdr:row>60</xdr:row>
      <xdr:rowOff>123825</xdr:rowOff>
    </xdr:to>
    <xdr:graphicFrame>
      <xdr:nvGraphicFramePr>
        <xdr:cNvPr id="2" name="Chart 17"/>
        <xdr:cNvGraphicFramePr/>
      </xdr:nvGraphicFramePr>
      <xdr:xfrm>
        <a:off x="333375" y="8648700"/>
        <a:ext cx="50006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87</xdr:row>
      <xdr:rowOff>76200</xdr:rowOff>
    </xdr:from>
    <xdr:to>
      <xdr:col>5</xdr:col>
      <xdr:colOff>552450</xdr:colOff>
      <xdr:row>100</xdr:row>
      <xdr:rowOff>0</xdr:rowOff>
    </xdr:to>
    <xdr:graphicFrame>
      <xdr:nvGraphicFramePr>
        <xdr:cNvPr id="1" name="Chart 3"/>
        <xdr:cNvGraphicFramePr/>
      </xdr:nvGraphicFramePr>
      <xdr:xfrm>
        <a:off x="152400" y="15316200"/>
        <a:ext cx="60769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61</xdr:row>
      <xdr:rowOff>19050</xdr:rowOff>
    </xdr:from>
    <xdr:to>
      <xdr:col>5</xdr:col>
      <xdr:colOff>590550</xdr:colOff>
      <xdr:row>76</xdr:row>
      <xdr:rowOff>0</xdr:rowOff>
    </xdr:to>
    <xdr:graphicFrame>
      <xdr:nvGraphicFramePr>
        <xdr:cNvPr id="2" name="Chart 4"/>
        <xdr:cNvGraphicFramePr/>
      </xdr:nvGraphicFramePr>
      <xdr:xfrm>
        <a:off x="95250" y="10801350"/>
        <a:ext cx="61722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57</xdr:row>
      <xdr:rowOff>133350</xdr:rowOff>
    </xdr:from>
    <xdr:to>
      <xdr:col>5</xdr:col>
      <xdr:colOff>447675</xdr:colOff>
      <xdr:row>72</xdr:row>
      <xdr:rowOff>9525</xdr:rowOff>
    </xdr:to>
    <xdr:graphicFrame>
      <xdr:nvGraphicFramePr>
        <xdr:cNvPr id="1" name="Chart 3"/>
        <xdr:cNvGraphicFramePr/>
      </xdr:nvGraphicFramePr>
      <xdr:xfrm>
        <a:off x="142875" y="9963150"/>
        <a:ext cx="60293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81</xdr:row>
      <xdr:rowOff>133350</xdr:rowOff>
    </xdr:from>
    <xdr:to>
      <xdr:col>5</xdr:col>
      <xdr:colOff>514350</xdr:colOff>
      <xdr:row>100</xdr:row>
      <xdr:rowOff>123825</xdr:rowOff>
    </xdr:to>
    <xdr:graphicFrame>
      <xdr:nvGraphicFramePr>
        <xdr:cNvPr id="2" name="Chart 5"/>
        <xdr:cNvGraphicFramePr/>
      </xdr:nvGraphicFramePr>
      <xdr:xfrm>
        <a:off x="171450" y="14077950"/>
        <a:ext cx="60674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123825</xdr:rowOff>
    </xdr:from>
    <xdr:to>
      <xdr:col>5</xdr:col>
      <xdr:colOff>542925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52400" y="3409950"/>
        <a:ext cx="61531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6:I45"/>
  <sheetViews>
    <sheetView zoomScalePageLayoutView="0" workbookViewId="0" topLeftCell="A1">
      <selection activeCell="C3" sqref="C3"/>
    </sheetView>
  </sheetViews>
  <sheetFormatPr defaultColWidth="9.140625" defaultRowHeight="13.5" customHeight="1"/>
  <cols>
    <col min="1" max="9" width="10.7109375" style="16" customWidth="1"/>
    <col min="10" max="16384" width="9.140625" style="16" customWidth="1"/>
  </cols>
  <sheetData>
    <row r="6" spans="2:8" s="50" customFormat="1" ht="30.75" customHeight="1">
      <c r="B6" s="163" t="s">
        <v>158</v>
      </c>
      <c r="C6" s="164"/>
      <c r="D6" s="164"/>
      <c r="E6" s="164"/>
      <c r="F6" s="164"/>
      <c r="G6" s="164"/>
      <c r="H6" s="164"/>
    </row>
    <row r="7" ht="24.75" customHeight="1">
      <c r="B7" s="49"/>
    </row>
    <row r="8" spans="2:8" s="50" customFormat="1" ht="30.75" customHeight="1">
      <c r="B8" s="163" t="s">
        <v>159</v>
      </c>
      <c r="C8" s="164"/>
      <c r="D8" s="164"/>
      <c r="E8" s="164"/>
      <c r="F8" s="164"/>
      <c r="G8" s="164"/>
      <c r="H8" s="164"/>
    </row>
    <row r="9" ht="28.5" customHeight="1">
      <c r="B9" s="51"/>
    </row>
    <row r="10" spans="2:8" s="52" customFormat="1" ht="16.5" customHeight="1">
      <c r="B10" s="165" t="s">
        <v>160</v>
      </c>
      <c r="C10" s="164"/>
      <c r="D10" s="164"/>
      <c r="E10" s="164"/>
      <c r="F10" s="164"/>
      <c r="G10" s="164"/>
      <c r="H10" s="164"/>
    </row>
    <row r="11" ht="48.75" customHeight="1">
      <c r="B11" s="51"/>
    </row>
    <row r="12" spans="2:8" s="50" customFormat="1" ht="30.75" customHeight="1">
      <c r="B12" s="166"/>
      <c r="C12" s="167"/>
      <c r="D12" s="167"/>
      <c r="E12" s="167"/>
      <c r="F12" s="167"/>
      <c r="G12" s="167"/>
      <c r="H12" s="167"/>
    </row>
    <row r="29" spans="2:8" s="53" customFormat="1" ht="13.5" customHeight="1">
      <c r="B29" s="53" t="s">
        <v>164</v>
      </c>
      <c r="F29" s="164" t="s">
        <v>161</v>
      </c>
      <c r="G29" s="164"/>
      <c r="H29" s="164"/>
    </row>
    <row r="30" s="53" customFormat="1" ht="9" customHeight="1"/>
    <row r="31" spans="2:8" s="53" customFormat="1" ht="13.5" customHeight="1">
      <c r="B31" s="168"/>
      <c r="C31" s="168"/>
      <c r="D31" s="168"/>
      <c r="F31" s="168"/>
      <c r="G31" s="168"/>
      <c r="H31" s="168"/>
    </row>
    <row r="32" spans="2:4" s="53" customFormat="1" ht="13.5" customHeight="1">
      <c r="B32" s="168"/>
      <c r="C32" s="168"/>
      <c r="D32" s="168"/>
    </row>
    <row r="33" spans="2:4" s="53" customFormat="1" ht="13.5" customHeight="1">
      <c r="B33" s="168"/>
      <c r="C33" s="168"/>
      <c r="D33" s="168"/>
    </row>
    <row r="34" spans="2:4" s="53" customFormat="1" ht="13.5" customHeight="1">
      <c r="B34" s="168"/>
      <c r="C34" s="168"/>
      <c r="D34" s="168"/>
    </row>
    <row r="43" spans="1:9" ht="13.5" customHeight="1">
      <c r="A43" s="54"/>
      <c r="B43" s="54"/>
      <c r="C43" s="54"/>
      <c r="D43" s="54"/>
      <c r="E43" s="54"/>
      <c r="F43" s="54"/>
      <c r="G43" s="54"/>
      <c r="H43" s="54"/>
      <c r="I43" s="54"/>
    </row>
    <row r="44" spans="1:9" ht="13.5" customHeight="1">
      <c r="A44" s="169" t="s">
        <v>162</v>
      </c>
      <c r="B44" s="169"/>
      <c r="C44" s="169"/>
      <c r="D44" s="169"/>
      <c r="E44" s="169"/>
      <c r="F44" s="169"/>
      <c r="G44" s="169"/>
      <c r="H44" s="169"/>
      <c r="I44" s="169"/>
    </row>
    <row r="45" spans="1:9" ht="13.5" customHeight="1">
      <c r="A45" s="170" t="s">
        <v>163</v>
      </c>
      <c r="B45" s="170"/>
      <c r="C45" s="170"/>
      <c r="D45" s="170"/>
      <c r="E45" s="170"/>
      <c r="F45" s="170"/>
      <c r="G45" s="170"/>
      <c r="H45" s="170"/>
      <c r="I45" s="170"/>
    </row>
  </sheetData>
  <sheetProtection password="C53A" sheet="1" objects="1" scenarios="1"/>
  <mergeCells count="12">
    <mergeCell ref="A44:I44"/>
    <mergeCell ref="A45:I45"/>
    <mergeCell ref="B31:D31"/>
    <mergeCell ref="B32:D32"/>
    <mergeCell ref="B33:D33"/>
    <mergeCell ref="B34:D34"/>
    <mergeCell ref="B6:H6"/>
    <mergeCell ref="B8:H8"/>
    <mergeCell ref="B10:H10"/>
    <mergeCell ref="B12:H12"/>
    <mergeCell ref="F29:H29"/>
    <mergeCell ref="F31:H31"/>
  </mergeCells>
  <printOptions/>
  <pageMargins left="0.3937007874015748" right="0.3937007874015748" top="0.5905511811023623" bottom="0.5905511811023623" header="0.1968503937007874" footer="0.1968503937007874"/>
  <pageSetup errors="dash" horizontalDpi="600" verticalDpi="600" orientation="portrait" paperSize="9" r:id="rId3"/>
  <headerFooter alignWithMargins="0">
    <oddFooter xml:space="preserve">&amp;L&amp;"Tahoma,Navadno"&amp;9© ® Skupina Replika&amp;C&amp;"Tahoma,Navadno"&amp;9&amp;A: &amp;P / &amp;N&amp;R&amp;"Tahoma,Navadno"&amp;9www.replika.si © ®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31"/>
  <sheetViews>
    <sheetView tabSelected="1" view="pageBreakPreview" zoomScale="60" zoomScalePageLayoutView="0" workbookViewId="0" topLeftCell="A13">
      <selection activeCell="P57" sqref="P57"/>
    </sheetView>
  </sheetViews>
  <sheetFormatPr defaultColWidth="9.140625" defaultRowHeight="13.5" customHeight="1"/>
  <cols>
    <col min="1" max="1" width="15.421875" style="16" customWidth="1"/>
    <col min="2" max="4" width="10.8515625" style="16" customWidth="1"/>
    <col min="5" max="7" width="8.140625" style="16" customWidth="1"/>
    <col min="8" max="9" width="11.00390625" style="16" customWidth="1"/>
    <col min="10" max="10" width="11.28125" style="28" customWidth="1"/>
    <col min="11" max="11" width="11.421875" style="16" customWidth="1"/>
    <col min="12" max="13" width="11.28125" style="16" customWidth="1"/>
    <col min="14" max="14" width="9.421875" style="16" customWidth="1"/>
    <col min="15" max="17" width="9.00390625" style="34" customWidth="1"/>
    <col min="18" max="18" width="9.421875" style="16" customWidth="1"/>
    <col min="19" max="16384" width="9.140625" style="16" customWidth="1"/>
  </cols>
  <sheetData>
    <row r="1" spans="1:17" s="149" customFormat="1" ht="15.75" customHeight="1">
      <c r="A1" s="147" t="s">
        <v>87</v>
      </c>
      <c r="B1" s="148"/>
      <c r="C1" s="148"/>
      <c r="D1" s="148"/>
      <c r="E1" s="148"/>
      <c r="F1" s="148"/>
      <c r="G1" s="148"/>
      <c r="H1" s="148"/>
      <c r="I1" s="148"/>
      <c r="J1" s="147"/>
      <c r="K1" s="148"/>
      <c r="L1" s="148"/>
      <c r="M1" s="148"/>
      <c r="O1" s="150"/>
      <c r="P1" s="150"/>
      <c r="Q1" s="150"/>
    </row>
    <row r="3" spans="1:17" s="57" customFormat="1" ht="25.5" customHeight="1">
      <c r="A3" s="55"/>
      <c r="B3" s="56" t="s">
        <v>194</v>
      </c>
      <c r="C3" s="56" t="s">
        <v>195</v>
      </c>
      <c r="D3" s="171" t="s">
        <v>114</v>
      </c>
      <c r="E3" s="171"/>
      <c r="F3" s="171"/>
      <c r="G3" s="171"/>
      <c r="J3" s="58"/>
      <c r="O3" s="33"/>
      <c r="P3" s="33"/>
      <c r="Q3" s="33"/>
    </row>
    <row r="4" spans="1:7" ht="13.5" customHeight="1">
      <c r="A4" s="13" t="s">
        <v>88</v>
      </c>
      <c r="B4" s="41">
        <v>150</v>
      </c>
      <c r="C4" s="41">
        <v>50</v>
      </c>
      <c r="D4" s="172" t="s">
        <v>115</v>
      </c>
      <c r="E4" s="172"/>
      <c r="F4" s="172"/>
      <c r="G4" s="172"/>
    </row>
    <row r="5" spans="1:7" ht="13.5" customHeight="1">
      <c r="A5" s="13" t="s">
        <v>89</v>
      </c>
      <c r="B5" s="41">
        <v>450</v>
      </c>
      <c r="C5" s="41">
        <v>150</v>
      </c>
      <c r="D5" s="172" t="s">
        <v>116</v>
      </c>
      <c r="E5" s="172"/>
      <c r="F5" s="172"/>
      <c r="G5" s="172"/>
    </row>
    <row r="6" spans="1:7" ht="13.5" customHeight="1">
      <c r="A6" s="13" t="s">
        <v>109</v>
      </c>
      <c r="B6" s="41">
        <v>320</v>
      </c>
      <c r="C6" s="41">
        <v>35</v>
      </c>
      <c r="D6" s="172" t="s">
        <v>117</v>
      </c>
      <c r="E6" s="172"/>
      <c r="F6" s="172"/>
      <c r="G6" s="172"/>
    </row>
    <row r="7" spans="1:3" ht="13.5" customHeight="1">
      <c r="A7" s="13" t="s">
        <v>118</v>
      </c>
      <c r="B7" s="41">
        <v>2500</v>
      </c>
      <c r="C7" s="59"/>
    </row>
    <row r="8" spans="1:3" ht="13.5" customHeight="1">
      <c r="A8" s="60"/>
      <c r="B8" s="59"/>
      <c r="C8" s="59"/>
    </row>
    <row r="9" spans="1:3" ht="13.5" customHeight="1">
      <c r="A9" s="60"/>
      <c r="B9" s="59"/>
      <c r="C9" s="59"/>
    </row>
    <row r="10" ht="13.5" customHeight="1" thickBot="1"/>
    <row r="11" spans="1:17" s="57" customFormat="1" ht="37.5" customHeight="1" thickBot="1">
      <c r="A11" s="61" t="s">
        <v>90</v>
      </c>
      <c r="B11" s="62" t="s">
        <v>191</v>
      </c>
      <c r="C11" s="62" t="s">
        <v>192</v>
      </c>
      <c r="D11" s="62" t="s">
        <v>193</v>
      </c>
      <c r="E11" s="62" t="s">
        <v>152</v>
      </c>
      <c r="F11" s="62" t="s">
        <v>153</v>
      </c>
      <c r="G11" s="62" t="s">
        <v>119</v>
      </c>
      <c r="H11" s="62" t="s">
        <v>108</v>
      </c>
      <c r="I11" s="62" t="s">
        <v>110</v>
      </c>
      <c r="J11" s="62" t="s">
        <v>111</v>
      </c>
      <c r="K11" s="62" t="s">
        <v>112</v>
      </c>
      <c r="L11" s="62" t="s">
        <v>113</v>
      </c>
      <c r="M11" s="63" t="s">
        <v>154</v>
      </c>
      <c r="O11" s="35" t="s">
        <v>155</v>
      </c>
      <c r="P11" s="35" t="s">
        <v>156</v>
      </c>
      <c r="Q11" s="35" t="s">
        <v>157</v>
      </c>
    </row>
    <row r="12" spans="1:17" ht="13.5" customHeight="1">
      <c r="A12" s="64" t="s">
        <v>91</v>
      </c>
      <c r="B12" s="42">
        <v>4</v>
      </c>
      <c r="C12" s="42">
        <v>3</v>
      </c>
      <c r="D12" s="42">
        <v>1</v>
      </c>
      <c r="E12" s="43">
        <v>0.01</v>
      </c>
      <c r="F12" s="43">
        <v>0</v>
      </c>
      <c r="G12" s="65">
        <f>IF(E12+F12&gt;0,1-F12-E12,0)</f>
        <v>0.99</v>
      </c>
      <c r="H12" s="66">
        <f>B12*$B$4+C12*$B$5+D12*$B$6</f>
        <v>2270</v>
      </c>
      <c r="I12" s="66">
        <f>B12*$C$4+C12*$C$5+D12*$C$6</f>
        <v>685</v>
      </c>
      <c r="J12" s="66">
        <f>H12-I12</f>
        <v>1585</v>
      </c>
      <c r="K12" s="66">
        <f>I12+$B$7</f>
        <v>3185</v>
      </c>
      <c r="L12" s="66">
        <f>H12-K12</f>
        <v>-915</v>
      </c>
      <c r="M12" s="67">
        <f>L12</f>
        <v>-915</v>
      </c>
      <c r="O12" s="36">
        <f>E12*H12</f>
        <v>22.7</v>
      </c>
      <c r="P12" s="36">
        <f>F12*H12</f>
        <v>0</v>
      </c>
      <c r="Q12" s="36">
        <f>H12*G12</f>
        <v>2247.3</v>
      </c>
    </row>
    <row r="13" spans="1:17" ht="13.5" customHeight="1">
      <c r="A13" s="68" t="s">
        <v>92</v>
      </c>
      <c r="B13" s="44">
        <v>5</v>
      </c>
      <c r="C13" s="44">
        <v>3</v>
      </c>
      <c r="D13" s="44">
        <v>1</v>
      </c>
      <c r="E13" s="45">
        <v>0.77</v>
      </c>
      <c r="F13" s="45">
        <v>0.2</v>
      </c>
      <c r="G13" s="69">
        <f aca="true" t="shared" si="0" ref="G13:G28">IF(E13+F13&gt;0,1-F13-E13,0)</f>
        <v>0.030000000000000027</v>
      </c>
      <c r="H13" s="38">
        <f aca="true" t="shared" si="1" ref="H13:H23">B13*$B$4+C13*$B$5+D13*$B$6</f>
        <v>2420</v>
      </c>
      <c r="I13" s="38">
        <f aca="true" t="shared" si="2" ref="I13:I23">B13*$C$4+C13*$C$5+D13*$C$6</f>
        <v>735</v>
      </c>
      <c r="J13" s="38">
        <f aca="true" t="shared" si="3" ref="J13:J23">H13-I13</f>
        <v>1685</v>
      </c>
      <c r="K13" s="38">
        <f aca="true" t="shared" si="4" ref="K13:K23">I13+$B$7</f>
        <v>3235</v>
      </c>
      <c r="L13" s="38">
        <f aca="true" t="shared" si="5" ref="L13:L23">H13-K13</f>
        <v>-815</v>
      </c>
      <c r="M13" s="70">
        <f>M12+L13</f>
        <v>-1730</v>
      </c>
      <c r="O13" s="36">
        <f aca="true" t="shared" si="6" ref="O13:O23">E13*H13</f>
        <v>1863.4</v>
      </c>
      <c r="P13" s="36">
        <f aca="true" t="shared" si="7" ref="P13:P23">F13*H13</f>
        <v>484</v>
      </c>
      <c r="Q13" s="36">
        <f aca="true" t="shared" si="8" ref="Q13:Q23">H13*G13</f>
        <v>72.60000000000007</v>
      </c>
    </row>
    <row r="14" spans="1:17" ht="13.5" customHeight="1">
      <c r="A14" s="68" t="s">
        <v>93</v>
      </c>
      <c r="B14" s="44">
        <v>6</v>
      </c>
      <c r="C14" s="44">
        <v>3</v>
      </c>
      <c r="D14" s="44">
        <v>1</v>
      </c>
      <c r="E14" s="45">
        <v>0.55</v>
      </c>
      <c r="F14" s="45">
        <v>0.2</v>
      </c>
      <c r="G14" s="69">
        <f t="shared" si="0"/>
        <v>0.25</v>
      </c>
      <c r="H14" s="38">
        <f t="shared" si="1"/>
        <v>2570</v>
      </c>
      <c r="I14" s="38">
        <f t="shared" si="2"/>
        <v>785</v>
      </c>
      <c r="J14" s="38">
        <f t="shared" si="3"/>
        <v>1785</v>
      </c>
      <c r="K14" s="38">
        <f t="shared" si="4"/>
        <v>3285</v>
      </c>
      <c r="L14" s="38">
        <f t="shared" si="5"/>
        <v>-715</v>
      </c>
      <c r="M14" s="70">
        <f aca="true" t="shared" si="9" ref="M14:M23">M13+L14</f>
        <v>-2445</v>
      </c>
      <c r="O14" s="36">
        <f t="shared" si="6"/>
        <v>1413.5000000000002</v>
      </c>
      <c r="P14" s="36">
        <f t="shared" si="7"/>
        <v>514</v>
      </c>
      <c r="Q14" s="36">
        <f t="shared" si="8"/>
        <v>642.5</v>
      </c>
    </row>
    <row r="15" spans="1:17" ht="13.5" customHeight="1">
      <c r="A15" s="68" t="s">
        <v>94</v>
      </c>
      <c r="B15" s="44">
        <v>13</v>
      </c>
      <c r="C15" s="44">
        <v>3</v>
      </c>
      <c r="D15" s="44">
        <v>1</v>
      </c>
      <c r="E15" s="45">
        <v>0.49</v>
      </c>
      <c r="F15" s="45">
        <v>0.35</v>
      </c>
      <c r="G15" s="69">
        <f t="shared" si="0"/>
        <v>0.16000000000000003</v>
      </c>
      <c r="H15" s="38">
        <f t="shared" si="1"/>
        <v>3620</v>
      </c>
      <c r="I15" s="38">
        <f t="shared" si="2"/>
        <v>1135</v>
      </c>
      <c r="J15" s="38">
        <f t="shared" si="3"/>
        <v>2485</v>
      </c>
      <c r="K15" s="38">
        <f t="shared" si="4"/>
        <v>3635</v>
      </c>
      <c r="L15" s="38">
        <f t="shared" si="5"/>
        <v>-15</v>
      </c>
      <c r="M15" s="70">
        <f t="shared" si="9"/>
        <v>-2460</v>
      </c>
      <c r="O15" s="36">
        <f t="shared" si="6"/>
        <v>1773.8</v>
      </c>
      <c r="P15" s="36">
        <f t="shared" si="7"/>
        <v>1267</v>
      </c>
      <c r="Q15" s="36">
        <f t="shared" si="8"/>
        <v>579.2000000000002</v>
      </c>
    </row>
    <row r="16" spans="1:17" ht="13.5" customHeight="1">
      <c r="A16" s="68" t="s">
        <v>95</v>
      </c>
      <c r="B16" s="44">
        <v>1</v>
      </c>
      <c r="C16" s="44">
        <v>1</v>
      </c>
      <c r="D16" s="44">
        <v>1</v>
      </c>
      <c r="E16" s="45">
        <v>0.01</v>
      </c>
      <c r="F16" s="45">
        <v>0.01</v>
      </c>
      <c r="G16" s="69">
        <f t="shared" si="0"/>
        <v>0.98</v>
      </c>
      <c r="H16" s="38">
        <f t="shared" si="1"/>
        <v>920</v>
      </c>
      <c r="I16" s="38">
        <f t="shared" si="2"/>
        <v>235</v>
      </c>
      <c r="J16" s="38">
        <f t="shared" si="3"/>
        <v>685</v>
      </c>
      <c r="K16" s="38">
        <f t="shared" si="4"/>
        <v>2735</v>
      </c>
      <c r="L16" s="38">
        <f t="shared" si="5"/>
        <v>-1815</v>
      </c>
      <c r="M16" s="70">
        <f t="shared" si="9"/>
        <v>-4275</v>
      </c>
      <c r="O16" s="36">
        <f t="shared" si="6"/>
        <v>9.200000000000001</v>
      </c>
      <c r="P16" s="36">
        <f t="shared" si="7"/>
        <v>9.200000000000001</v>
      </c>
      <c r="Q16" s="36">
        <f t="shared" si="8"/>
        <v>901.6</v>
      </c>
    </row>
    <row r="17" spans="1:17" ht="13.5" customHeight="1">
      <c r="A17" s="68" t="s">
        <v>96</v>
      </c>
      <c r="B17" s="44">
        <v>14</v>
      </c>
      <c r="C17" s="44">
        <v>3</v>
      </c>
      <c r="D17" s="44">
        <v>12</v>
      </c>
      <c r="E17" s="45">
        <v>0.7</v>
      </c>
      <c r="F17" s="45">
        <v>0.2</v>
      </c>
      <c r="G17" s="69">
        <f t="shared" si="0"/>
        <v>0.10000000000000009</v>
      </c>
      <c r="H17" s="38">
        <f t="shared" si="1"/>
        <v>7290</v>
      </c>
      <c r="I17" s="38">
        <f t="shared" si="2"/>
        <v>1570</v>
      </c>
      <c r="J17" s="38">
        <f t="shared" si="3"/>
        <v>5720</v>
      </c>
      <c r="K17" s="38">
        <f t="shared" si="4"/>
        <v>4070</v>
      </c>
      <c r="L17" s="38">
        <f t="shared" si="5"/>
        <v>3220</v>
      </c>
      <c r="M17" s="70">
        <f t="shared" si="9"/>
        <v>-1055</v>
      </c>
      <c r="O17" s="36">
        <f t="shared" si="6"/>
        <v>5103</v>
      </c>
      <c r="P17" s="36">
        <f t="shared" si="7"/>
        <v>1458</v>
      </c>
      <c r="Q17" s="36">
        <f t="shared" si="8"/>
        <v>729.0000000000007</v>
      </c>
    </row>
    <row r="18" spans="1:17" ht="13.5" customHeight="1">
      <c r="A18" s="68" t="s">
        <v>97</v>
      </c>
      <c r="B18" s="44">
        <v>13</v>
      </c>
      <c r="C18" s="44">
        <v>3</v>
      </c>
      <c r="D18" s="44">
        <v>2</v>
      </c>
      <c r="E18" s="45">
        <v>0.7</v>
      </c>
      <c r="F18" s="45">
        <v>0.2</v>
      </c>
      <c r="G18" s="69">
        <f t="shared" si="0"/>
        <v>0.10000000000000009</v>
      </c>
      <c r="H18" s="38">
        <f t="shared" si="1"/>
        <v>3940</v>
      </c>
      <c r="I18" s="38">
        <f t="shared" si="2"/>
        <v>1170</v>
      </c>
      <c r="J18" s="38">
        <f t="shared" si="3"/>
        <v>2770</v>
      </c>
      <c r="K18" s="38">
        <f t="shared" si="4"/>
        <v>3670</v>
      </c>
      <c r="L18" s="38">
        <f t="shared" si="5"/>
        <v>270</v>
      </c>
      <c r="M18" s="70">
        <f t="shared" si="9"/>
        <v>-785</v>
      </c>
      <c r="O18" s="36">
        <f t="shared" si="6"/>
        <v>2758</v>
      </c>
      <c r="P18" s="36">
        <f t="shared" si="7"/>
        <v>788</v>
      </c>
      <c r="Q18" s="36">
        <f t="shared" si="8"/>
        <v>394.00000000000034</v>
      </c>
    </row>
    <row r="19" spans="1:17" ht="13.5" customHeight="1">
      <c r="A19" s="68" t="s">
        <v>98</v>
      </c>
      <c r="B19" s="44">
        <v>13</v>
      </c>
      <c r="C19" s="44">
        <v>3</v>
      </c>
      <c r="D19" s="44">
        <v>0</v>
      </c>
      <c r="E19" s="45">
        <v>0.7</v>
      </c>
      <c r="F19" s="45">
        <v>0.2</v>
      </c>
      <c r="G19" s="69">
        <f t="shared" si="0"/>
        <v>0.10000000000000009</v>
      </c>
      <c r="H19" s="38">
        <f t="shared" si="1"/>
        <v>3300</v>
      </c>
      <c r="I19" s="38">
        <f t="shared" si="2"/>
        <v>1100</v>
      </c>
      <c r="J19" s="38">
        <f t="shared" si="3"/>
        <v>2200</v>
      </c>
      <c r="K19" s="38">
        <f t="shared" si="4"/>
        <v>3600</v>
      </c>
      <c r="L19" s="38">
        <f t="shared" si="5"/>
        <v>-300</v>
      </c>
      <c r="M19" s="70">
        <f t="shared" si="9"/>
        <v>-1085</v>
      </c>
      <c r="O19" s="36">
        <f t="shared" si="6"/>
        <v>2310</v>
      </c>
      <c r="P19" s="36">
        <f t="shared" si="7"/>
        <v>660</v>
      </c>
      <c r="Q19" s="36">
        <f t="shared" si="8"/>
        <v>330.0000000000003</v>
      </c>
    </row>
    <row r="20" spans="1:17" ht="13.5" customHeight="1">
      <c r="A20" s="68" t="s">
        <v>99</v>
      </c>
      <c r="B20" s="44">
        <v>14</v>
      </c>
      <c r="C20" s="44">
        <v>3</v>
      </c>
      <c r="D20" s="44">
        <v>5</v>
      </c>
      <c r="E20" s="45">
        <v>0.7</v>
      </c>
      <c r="F20" s="45">
        <v>0.25</v>
      </c>
      <c r="G20" s="69">
        <f t="shared" si="0"/>
        <v>0.050000000000000044</v>
      </c>
      <c r="H20" s="38">
        <f t="shared" si="1"/>
        <v>5050</v>
      </c>
      <c r="I20" s="38">
        <f t="shared" si="2"/>
        <v>1325</v>
      </c>
      <c r="J20" s="38">
        <f t="shared" si="3"/>
        <v>3725</v>
      </c>
      <c r="K20" s="38">
        <f t="shared" si="4"/>
        <v>3825</v>
      </c>
      <c r="L20" s="38">
        <f t="shared" si="5"/>
        <v>1225</v>
      </c>
      <c r="M20" s="70">
        <f t="shared" si="9"/>
        <v>140</v>
      </c>
      <c r="O20" s="36">
        <f t="shared" si="6"/>
        <v>3535</v>
      </c>
      <c r="P20" s="36">
        <f t="shared" si="7"/>
        <v>1262.5</v>
      </c>
      <c r="Q20" s="36">
        <f t="shared" si="8"/>
        <v>252.50000000000023</v>
      </c>
    </row>
    <row r="21" spans="1:17" ht="13.5" customHeight="1">
      <c r="A21" s="68" t="s">
        <v>100</v>
      </c>
      <c r="B21" s="44">
        <v>14</v>
      </c>
      <c r="C21" s="44">
        <v>3</v>
      </c>
      <c r="D21" s="44">
        <v>5</v>
      </c>
      <c r="E21" s="45">
        <v>0.6</v>
      </c>
      <c r="F21" s="45">
        <v>0.25</v>
      </c>
      <c r="G21" s="69">
        <f t="shared" si="0"/>
        <v>0.15000000000000002</v>
      </c>
      <c r="H21" s="38">
        <f t="shared" si="1"/>
        <v>5050</v>
      </c>
      <c r="I21" s="38">
        <f t="shared" si="2"/>
        <v>1325</v>
      </c>
      <c r="J21" s="38">
        <f t="shared" si="3"/>
        <v>3725</v>
      </c>
      <c r="K21" s="38">
        <f t="shared" si="4"/>
        <v>3825</v>
      </c>
      <c r="L21" s="38">
        <f t="shared" si="5"/>
        <v>1225</v>
      </c>
      <c r="M21" s="70">
        <f t="shared" si="9"/>
        <v>1365</v>
      </c>
      <c r="O21" s="36">
        <f t="shared" si="6"/>
        <v>3030</v>
      </c>
      <c r="P21" s="36">
        <f t="shared" si="7"/>
        <v>1262.5</v>
      </c>
      <c r="Q21" s="36">
        <f t="shared" si="8"/>
        <v>757.5000000000001</v>
      </c>
    </row>
    <row r="22" spans="1:17" ht="13.5" customHeight="1">
      <c r="A22" s="68" t="s">
        <v>101</v>
      </c>
      <c r="B22" s="44">
        <v>14</v>
      </c>
      <c r="C22" s="44">
        <v>3</v>
      </c>
      <c r="D22" s="44">
        <v>5</v>
      </c>
      <c r="E22" s="45">
        <v>0.5</v>
      </c>
      <c r="F22" s="45">
        <v>0.25</v>
      </c>
      <c r="G22" s="69">
        <f t="shared" si="0"/>
        <v>0.25</v>
      </c>
      <c r="H22" s="38">
        <f t="shared" si="1"/>
        <v>5050</v>
      </c>
      <c r="I22" s="38">
        <f t="shared" si="2"/>
        <v>1325</v>
      </c>
      <c r="J22" s="38">
        <f t="shared" si="3"/>
        <v>3725</v>
      </c>
      <c r="K22" s="38">
        <f t="shared" si="4"/>
        <v>3825</v>
      </c>
      <c r="L22" s="38">
        <f t="shared" si="5"/>
        <v>1225</v>
      </c>
      <c r="M22" s="70">
        <f t="shared" si="9"/>
        <v>2590</v>
      </c>
      <c r="O22" s="36">
        <f t="shared" si="6"/>
        <v>2525</v>
      </c>
      <c r="P22" s="36">
        <f t="shared" si="7"/>
        <v>1262.5</v>
      </c>
      <c r="Q22" s="36">
        <f t="shared" si="8"/>
        <v>1262.5</v>
      </c>
    </row>
    <row r="23" spans="1:17" ht="13.5" customHeight="1" thickBot="1">
      <c r="A23" s="71" t="s">
        <v>102</v>
      </c>
      <c r="B23" s="46">
        <v>15</v>
      </c>
      <c r="C23" s="46">
        <v>3</v>
      </c>
      <c r="D23" s="46">
        <v>12</v>
      </c>
      <c r="E23" s="47">
        <v>0.5</v>
      </c>
      <c r="F23" s="47">
        <v>0.25</v>
      </c>
      <c r="G23" s="72">
        <f t="shared" si="0"/>
        <v>0.25</v>
      </c>
      <c r="H23" s="73">
        <f t="shared" si="1"/>
        <v>7440</v>
      </c>
      <c r="I23" s="73">
        <f t="shared" si="2"/>
        <v>1620</v>
      </c>
      <c r="J23" s="73">
        <f t="shared" si="3"/>
        <v>5820</v>
      </c>
      <c r="K23" s="73">
        <f t="shared" si="4"/>
        <v>4120</v>
      </c>
      <c r="L23" s="73">
        <f t="shared" si="5"/>
        <v>3320</v>
      </c>
      <c r="M23" s="74">
        <f t="shared" si="9"/>
        <v>5910</v>
      </c>
      <c r="O23" s="36">
        <f t="shared" si="6"/>
        <v>3720</v>
      </c>
      <c r="P23" s="36">
        <f t="shared" si="7"/>
        <v>1860</v>
      </c>
      <c r="Q23" s="36">
        <f t="shared" si="8"/>
        <v>1860</v>
      </c>
    </row>
    <row r="24" spans="1:17" s="28" customFormat="1" ht="13.5" customHeight="1">
      <c r="A24" s="75" t="s">
        <v>103</v>
      </c>
      <c r="B24" s="76">
        <f>SUM(B12:B23)</f>
        <v>126</v>
      </c>
      <c r="C24" s="76">
        <f>SUM(C12:C23)</f>
        <v>34</v>
      </c>
      <c r="D24" s="76">
        <f>SUM(D12:D23)</f>
        <v>46</v>
      </c>
      <c r="E24" s="77">
        <f>O24/$H$24</f>
        <v>0.5736631234668846</v>
      </c>
      <c r="F24" s="77">
        <f>P24/$H$24</f>
        <v>0.22133483237939494</v>
      </c>
      <c r="G24" s="65">
        <f t="shared" si="0"/>
        <v>0.20500204415372048</v>
      </c>
      <c r="H24" s="76">
        <f>SUM(H12:H23)</f>
        <v>48920</v>
      </c>
      <c r="I24" s="76">
        <f>SUM(I12:I23)</f>
        <v>13010</v>
      </c>
      <c r="J24" s="76">
        <f>SUM(J12:J23)</f>
        <v>35910</v>
      </c>
      <c r="K24" s="76">
        <f>SUM(K12:K23)</f>
        <v>43010</v>
      </c>
      <c r="L24" s="76">
        <f>SUM(L12:L23)</f>
        <v>5910</v>
      </c>
      <c r="M24" s="67"/>
      <c r="O24" s="37">
        <f>SUM(O12:O23)</f>
        <v>28063.6</v>
      </c>
      <c r="P24" s="37">
        <f>SUM(P12:P23)</f>
        <v>10827.7</v>
      </c>
      <c r="Q24" s="37">
        <f>SUM(Q12:Q23)</f>
        <v>10028.7</v>
      </c>
    </row>
    <row r="25" spans="1:17" ht="13.5" customHeight="1">
      <c r="A25" s="68" t="s">
        <v>104</v>
      </c>
      <c r="B25" s="44">
        <v>160</v>
      </c>
      <c r="C25" s="44">
        <v>40</v>
      </c>
      <c r="D25" s="44">
        <v>60</v>
      </c>
      <c r="E25" s="45">
        <v>0.5</v>
      </c>
      <c r="F25" s="45">
        <v>0.3</v>
      </c>
      <c r="G25" s="69">
        <f t="shared" si="0"/>
        <v>0.19999999999999996</v>
      </c>
      <c r="H25" s="38">
        <f>B25*$B$4+C25*$B$5+D25*$B$6</f>
        <v>61200</v>
      </c>
      <c r="I25" s="38">
        <f>B25*$C$4+C25*$C$5+D25*$C$6</f>
        <v>16100</v>
      </c>
      <c r="J25" s="38">
        <f>H25-I25</f>
        <v>45100</v>
      </c>
      <c r="K25" s="38">
        <f>I25+$B$7*12</f>
        <v>46100</v>
      </c>
      <c r="L25" s="38">
        <f>H25-K25</f>
        <v>15100</v>
      </c>
      <c r="M25" s="70"/>
      <c r="O25" s="36">
        <f>E25*H25</f>
        <v>30600</v>
      </c>
      <c r="P25" s="36">
        <f>F25*H25</f>
        <v>18360</v>
      </c>
      <c r="Q25" s="36">
        <f>H25*G25</f>
        <v>12239.999999999998</v>
      </c>
    </row>
    <row r="26" spans="1:17" ht="13.5" customHeight="1">
      <c r="A26" s="68" t="s">
        <v>105</v>
      </c>
      <c r="B26" s="44">
        <v>170</v>
      </c>
      <c r="C26" s="44">
        <v>41</v>
      </c>
      <c r="D26" s="44">
        <v>60</v>
      </c>
      <c r="E26" s="45">
        <v>0.45</v>
      </c>
      <c r="F26" s="45">
        <v>0.35</v>
      </c>
      <c r="G26" s="69">
        <f t="shared" si="0"/>
        <v>0.2</v>
      </c>
      <c r="H26" s="38">
        <f>B26*$B$4+C26*$B$5+D26*$B$6</f>
        <v>63150</v>
      </c>
      <c r="I26" s="38">
        <f>B26*$C$4+C26*$C$5+D26*$C$6</f>
        <v>16750</v>
      </c>
      <c r="J26" s="38">
        <f>H26-I26</f>
        <v>46400</v>
      </c>
      <c r="K26" s="38">
        <f>I26+$B$7*12</f>
        <v>46750</v>
      </c>
      <c r="L26" s="38">
        <f>H26-K26</f>
        <v>16400</v>
      </c>
      <c r="M26" s="70"/>
      <c r="O26" s="36">
        <f>E26*H26</f>
        <v>28417.5</v>
      </c>
      <c r="P26" s="36">
        <f>F26*H26</f>
        <v>22102.5</v>
      </c>
      <c r="Q26" s="36">
        <f>H26*G26</f>
        <v>12630</v>
      </c>
    </row>
    <row r="27" spans="1:17" ht="13.5" customHeight="1">
      <c r="A27" s="68" t="s">
        <v>106</v>
      </c>
      <c r="B27" s="44">
        <v>180</v>
      </c>
      <c r="C27" s="44">
        <v>40</v>
      </c>
      <c r="D27" s="44">
        <v>30</v>
      </c>
      <c r="E27" s="45">
        <v>0.4</v>
      </c>
      <c r="F27" s="45">
        <v>0.37</v>
      </c>
      <c r="G27" s="69">
        <f t="shared" si="0"/>
        <v>0.22999999999999998</v>
      </c>
      <c r="H27" s="38">
        <f>B27*$B$4+C27*$B$5+D27*$B$6</f>
        <v>54600</v>
      </c>
      <c r="I27" s="38">
        <f>B27*$C$4+C27*$C$5+D27*$C$6</f>
        <v>16050</v>
      </c>
      <c r="J27" s="38">
        <f>H27-I27</f>
        <v>38550</v>
      </c>
      <c r="K27" s="38">
        <f>I27+$B$7*12</f>
        <v>46050</v>
      </c>
      <c r="L27" s="38">
        <f>H27-K27</f>
        <v>8550</v>
      </c>
      <c r="M27" s="70"/>
      <c r="O27" s="36">
        <f>E27*H27</f>
        <v>21840</v>
      </c>
      <c r="P27" s="36">
        <f>F27*H27</f>
        <v>20202</v>
      </c>
      <c r="Q27" s="36">
        <f>H27*G27</f>
        <v>12557.999999999998</v>
      </c>
    </row>
    <row r="28" spans="1:17" ht="13.5" customHeight="1" thickBot="1">
      <c r="A28" s="71" t="s">
        <v>107</v>
      </c>
      <c r="B28" s="46">
        <v>157</v>
      </c>
      <c r="C28" s="46">
        <v>33</v>
      </c>
      <c r="D28" s="46">
        <v>42</v>
      </c>
      <c r="E28" s="47">
        <v>0.35</v>
      </c>
      <c r="F28" s="47">
        <v>0.4</v>
      </c>
      <c r="G28" s="72">
        <f t="shared" si="0"/>
        <v>0.25</v>
      </c>
      <c r="H28" s="73">
        <f>B28*$B$4+C28*$B$5+D28*$B$6</f>
        <v>51840</v>
      </c>
      <c r="I28" s="73">
        <f>B28*$C$4+C28*$C$5+D28*$C$6</f>
        <v>14270</v>
      </c>
      <c r="J28" s="73">
        <f>H28-I28</f>
        <v>37570</v>
      </c>
      <c r="K28" s="73">
        <f>I28+$B$7*12</f>
        <v>44270</v>
      </c>
      <c r="L28" s="73">
        <f>H28-K28</f>
        <v>7570</v>
      </c>
      <c r="M28" s="74"/>
      <c r="O28" s="36">
        <f>E28*H28</f>
        <v>18144</v>
      </c>
      <c r="P28" s="36">
        <f>F28*H28</f>
        <v>20736</v>
      </c>
      <c r="Q28" s="36">
        <f>H28*G28</f>
        <v>12960</v>
      </c>
    </row>
    <row r="31" spans="1:17" s="149" customFormat="1" ht="15.75" customHeight="1">
      <c r="A31" s="147" t="s">
        <v>205</v>
      </c>
      <c r="B31" s="148"/>
      <c r="C31" s="148"/>
      <c r="D31" s="148"/>
      <c r="E31" s="148"/>
      <c r="F31" s="148"/>
      <c r="G31" s="148"/>
      <c r="H31" s="148"/>
      <c r="I31" s="148"/>
      <c r="J31" s="147"/>
      <c r="K31" s="148"/>
      <c r="L31" s="148"/>
      <c r="M31" s="148"/>
      <c r="O31" s="150"/>
      <c r="P31" s="150"/>
      <c r="Q31" s="150"/>
    </row>
  </sheetData>
  <sheetProtection/>
  <mergeCells count="4">
    <mergeCell ref="D3:G3"/>
    <mergeCell ref="D4:G4"/>
    <mergeCell ref="D5:G5"/>
    <mergeCell ref="D6:G6"/>
  </mergeCells>
  <dataValidations count="3">
    <dataValidation type="decimal" allowBlank="1" showInputMessage="1" showErrorMessage="1" error="Vneseno mora biti pozitivno število!" sqref="B4:C7">
      <formula1>0</formula1>
      <formula2>99999999</formula2>
    </dataValidation>
    <dataValidation type="decimal" allowBlank="1" showInputMessage="1" showErrorMessage="1" error="Vnesena mora biti pozitivna vrednost števila!" sqref="B12:D28">
      <formula1>0</formula1>
      <formula2>99999999</formula2>
    </dataValidation>
    <dataValidation type="decimal" allowBlank="1" showInputMessage="1" showErrorMessage="1" error="Vnesena mora biti vrednost med 0% in 100%" sqref="E12:F28">
      <formula1>0</formula1>
      <formula2>1</formula2>
    </dataValidation>
  </dataValidations>
  <printOptions/>
  <pageMargins left="0.3937007874015748" right="0.3937007874015748" top="0.5905511811023623" bottom="0.5905511811023623" header="0" footer="0.1968503937007874"/>
  <pageSetup errors="dash" horizontalDpi="600" verticalDpi="600" orientation="landscape" paperSize="9" r:id="rId4"/>
  <headerFooter alignWithMargins="0">
    <oddFooter xml:space="preserve">&amp;L&amp;"Tahoma,Navadno"&amp;9© ® Skupina Replika&amp;C&amp;"Tahoma,Navadno"&amp;9&amp;A: &amp;P / &amp;N&amp;R&amp;"Tahoma,Navadno"&amp;9www.replika.si © ® </oddFooter>
  </headerFooter>
  <rowBreaks count="1" manualBreakCount="1">
    <brk id="30" max="1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R35"/>
  <sheetViews>
    <sheetView zoomScalePageLayoutView="0" workbookViewId="0" topLeftCell="A1">
      <selection activeCell="E15" sqref="E15"/>
    </sheetView>
  </sheetViews>
  <sheetFormatPr defaultColWidth="9.140625" defaultRowHeight="13.5" customHeight="1"/>
  <cols>
    <col min="1" max="1" width="38.7109375" style="16" customWidth="1"/>
    <col min="2" max="2" width="23.57421875" style="16" customWidth="1"/>
    <col min="3" max="3" width="5.28125" style="116" customWidth="1"/>
    <col min="4" max="4" width="6.8515625" style="116" customWidth="1"/>
    <col min="5" max="5" width="11.00390625" style="34" customWidth="1"/>
    <col min="6" max="6" width="8.57421875" style="117" customWidth="1"/>
    <col min="7" max="7" width="5.421875" style="118" customWidth="1"/>
    <col min="8" max="8" width="6.8515625" style="118" customWidth="1"/>
    <col min="9" max="13" width="11.7109375" style="119" customWidth="1"/>
    <col min="14" max="18" width="11.7109375" style="34" customWidth="1"/>
    <col min="19" max="16384" width="9.140625" style="16" customWidth="1"/>
  </cols>
  <sheetData>
    <row r="1" spans="1:18" s="156" customFormat="1" ht="15.75" customHeight="1">
      <c r="A1" s="144" t="s">
        <v>183</v>
      </c>
      <c r="B1" s="144"/>
      <c r="C1" s="151"/>
      <c r="D1" s="152"/>
      <c r="E1" s="153"/>
      <c r="F1" s="154"/>
      <c r="G1" s="155"/>
      <c r="H1" s="155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3" spans="1:2" ht="13.5" customHeight="1" thickBot="1">
      <c r="A3" s="142" t="str">
        <f>IF((MAX(I35:R35)&gt;1),"Skupina sredstev NI povsod nastavljena !!!"," ")</f>
        <v> </v>
      </c>
      <c r="B3" s="16" t="str">
        <f>IF((MIN(I35:R35)&lt;-1),"Skupina sredstev NI povsod anstavljena!!!"," ")</f>
        <v> </v>
      </c>
    </row>
    <row r="4" spans="1:18" ht="13.5" customHeight="1">
      <c r="A4" s="64"/>
      <c r="B4" s="97"/>
      <c r="C4" s="173" t="s">
        <v>187</v>
      </c>
      <c r="D4" s="174"/>
      <c r="E4" s="175" t="s">
        <v>196</v>
      </c>
      <c r="F4" s="177" t="s">
        <v>197</v>
      </c>
      <c r="G4" s="173" t="s">
        <v>186</v>
      </c>
      <c r="H4" s="174"/>
      <c r="I4" s="99">
        <v>1</v>
      </c>
      <c r="J4" s="99">
        <v>2</v>
      </c>
      <c r="K4" s="99">
        <v>3</v>
      </c>
      <c r="L4" s="99">
        <v>4</v>
      </c>
      <c r="M4" s="99">
        <v>5</v>
      </c>
      <c r="N4" s="99">
        <v>1</v>
      </c>
      <c r="O4" s="99">
        <v>2</v>
      </c>
      <c r="P4" s="99">
        <v>3</v>
      </c>
      <c r="Q4" s="99">
        <v>4</v>
      </c>
      <c r="R4" s="102">
        <v>5</v>
      </c>
    </row>
    <row r="5" spans="1:18" ht="13.5" customHeight="1" thickBot="1">
      <c r="A5" s="71" t="s">
        <v>178</v>
      </c>
      <c r="B5" s="128" t="s">
        <v>185</v>
      </c>
      <c r="C5" s="129" t="s">
        <v>174</v>
      </c>
      <c r="D5" s="129" t="s">
        <v>175</v>
      </c>
      <c r="E5" s="176"/>
      <c r="F5" s="176"/>
      <c r="G5" s="125" t="s">
        <v>174</v>
      </c>
      <c r="H5" s="125" t="s">
        <v>175</v>
      </c>
      <c r="I5" s="126" t="s">
        <v>176</v>
      </c>
      <c r="J5" s="126" t="s">
        <v>176</v>
      </c>
      <c r="K5" s="126" t="s">
        <v>176</v>
      </c>
      <c r="L5" s="126" t="s">
        <v>176</v>
      </c>
      <c r="M5" s="126" t="s">
        <v>176</v>
      </c>
      <c r="N5" s="126" t="s">
        <v>184</v>
      </c>
      <c r="O5" s="126" t="s">
        <v>184</v>
      </c>
      <c r="P5" s="126" t="s">
        <v>184</v>
      </c>
      <c r="Q5" s="126" t="s">
        <v>184</v>
      </c>
      <c r="R5" s="127" t="s">
        <v>184</v>
      </c>
    </row>
    <row r="6" spans="1:18" ht="13.5" customHeight="1">
      <c r="A6" s="120" t="s">
        <v>171</v>
      </c>
      <c r="B6" s="121" t="s">
        <v>179</v>
      </c>
      <c r="C6" s="122">
        <v>2</v>
      </c>
      <c r="D6" s="122">
        <v>7</v>
      </c>
      <c r="E6" s="123">
        <v>10000</v>
      </c>
      <c r="F6" s="124">
        <v>0.01</v>
      </c>
      <c r="G6" s="101">
        <f aca="true" t="shared" si="0" ref="G6:G15">IF(C6&gt;0,ROUNDDOWN((C6*12+D6-2+12/F6)/12,0),0)</f>
        <v>102</v>
      </c>
      <c r="H6" s="130">
        <f aca="true" t="shared" si="1" ref="H6:H15">IF(C6&gt;0,MOD((C6*12+D6-2+12/F6)/12,1)*12+1,0)</f>
        <v>6.000000000000057</v>
      </c>
      <c r="I6" s="134">
        <f aca="true" t="shared" si="2" ref="I6:M15">(IF(I$4&lt;$C6,0)+IF(I$4=$C6,1-($D6-1)/12)+IF(I$4&gt;$C6,1)-IF(I$4=$G6,1-($H6)/12)-IF(I$4&gt;$G6,1))*($F6*$E6)</f>
        <v>0</v>
      </c>
      <c r="J6" s="99">
        <f t="shared" si="2"/>
        <v>50</v>
      </c>
      <c r="K6" s="99">
        <f t="shared" si="2"/>
        <v>100</v>
      </c>
      <c r="L6" s="99">
        <f t="shared" si="2"/>
        <v>100</v>
      </c>
      <c r="M6" s="102">
        <f t="shared" si="2"/>
        <v>100</v>
      </c>
      <c r="N6" s="132">
        <f aca="true" t="shared" si="3" ref="N6:N15">IF(N$4=$C6,$E6-I6,0)</f>
        <v>0</v>
      </c>
      <c r="O6" s="99">
        <f aca="true" t="shared" si="4" ref="O6:O15">IF(O$4=$C6,$E6-J6,0)+IF(O$4&gt;$C6,N6-J6)</f>
        <v>9950</v>
      </c>
      <c r="P6" s="99">
        <f aca="true" t="shared" si="5" ref="P6:P15">IF(P$4=$C6,$E6-K6,0)+IF(P$4&gt;$C6,O6-K6)</f>
        <v>9850</v>
      </c>
      <c r="Q6" s="99">
        <f aca="true" t="shared" si="6" ref="Q6:Q15">IF(Q$4=$C6,$E6-L6,0)+IF(Q$4&gt;$C6,P6-L6)</f>
        <v>9750</v>
      </c>
      <c r="R6" s="102">
        <f aca="true" t="shared" si="7" ref="R6:R15">IF(R$4=$C6,$E6-M6,0)+IF(R$4&gt;$C6,Q6-M6)</f>
        <v>9650</v>
      </c>
    </row>
    <row r="7" spans="1:18" ht="13.5" customHeight="1">
      <c r="A7" s="78" t="s">
        <v>172</v>
      </c>
      <c r="B7" s="88" t="s">
        <v>179</v>
      </c>
      <c r="C7" s="79">
        <v>2</v>
      </c>
      <c r="D7" s="79">
        <v>1</v>
      </c>
      <c r="E7" s="80">
        <v>12500</v>
      </c>
      <c r="F7" s="81">
        <v>0.15</v>
      </c>
      <c r="G7" s="94">
        <f t="shared" si="0"/>
        <v>8</v>
      </c>
      <c r="H7" s="131">
        <f t="shared" si="1"/>
        <v>8.000000000000007</v>
      </c>
      <c r="I7" s="135">
        <f t="shared" si="2"/>
        <v>0</v>
      </c>
      <c r="J7" s="36">
        <f t="shared" si="2"/>
        <v>1875</v>
      </c>
      <c r="K7" s="36">
        <f t="shared" si="2"/>
        <v>1875</v>
      </c>
      <c r="L7" s="36">
        <f t="shared" si="2"/>
        <v>1875</v>
      </c>
      <c r="M7" s="103">
        <f t="shared" si="2"/>
        <v>1875</v>
      </c>
      <c r="N7" s="133">
        <f t="shared" si="3"/>
        <v>0</v>
      </c>
      <c r="O7" s="36">
        <f t="shared" si="4"/>
        <v>10625</v>
      </c>
      <c r="P7" s="36">
        <f t="shared" si="5"/>
        <v>8750</v>
      </c>
      <c r="Q7" s="36">
        <f t="shared" si="6"/>
        <v>6875</v>
      </c>
      <c r="R7" s="103">
        <f t="shared" si="7"/>
        <v>5000</v>
      </c>
    </row>
    <row r="8" spans="1:18" ht="13.5" customHeight="1">
      <c r="A8" s="78" t="s">
        <v>173</v>
      </c>
      <c r="B8" s="88" t="s">
        <v>180</v>
      </c>
      <c r="C8" s="79">
        <v>2</v>
      </c>
      <c r="D8" s="79">
        <v>4</v>
      </c>
      <c r="E8" s="80">
        <v>25000</v>
      </c>
      <c r="F8" s="81">
        <v>0.4</v>
      </c>
      <c r="G8" s="94">
        <f t="shared" si="0"/>
        <v>4</v>
      </c>
      <c r="H8" s="131">
        <f t="shared" si="1"/>
        <v>9.000000000000004</v>
      </c>
      <c r="I8" s="135">
        <f t="shared" si="2"/>
        <v>0</v>
      </c>
      <c r="J8" s="36">
        <f t="shared" si="2"/>
        <v>7500</v>
      </c>
      <c r="K8" s="36">
        <f t="shared" si="2"/>
        <v>10000</v>
      </c>
      <c r="L8" s="36">
        <f t="shared" si="2"/>
        <v>7500.000000000004</v>
      </c>
      <c r="M8" s="103">
        <f t="shared" si="2"/>
        <v>0</v>
      </c>
      <c r="N8" s="133">
        <f t="shared" si="3"/>
        <v>0</v>
      </c>
      <c r="O8" s="36">
        <f t="shared" si="4"/>
        <v>17500</v>
      </c>
      <c r="P8" s="36">
        <f t="shared" si="5"/>
        <v>7500</v>
      </c>
      <c r="Q8" s="36">
        <f t="shared" si="6"/>
        <v>-3.637978807091713E-12</v>
      </c>
      <c r="R8" s="103">
        <f t="shared" si="7"/>
        <v>-3.637978807091713E-12</v>
      </c>
    </row>
    <row r="9" spans="1:18" ht="13.5" customHeight="1">
      <c r="A9" s="78" t="s">
        <v>189</v>
      </c>
      <c r="B9" s="88" t="s">
        <v>180</v>
      </c>
      <c r="C9" s="79">
        <v>1</v>
      </c>
      <c r="D9" s="79">
        <v>7</v>
      </c>
      <c r="E9" s="80">
        <v>10000</v>
      </c>
      <c r="F9" s="81">
        <v>0.1</v>
      </c>
      <c r="G9" s="94">
        <f t="shared" si="0"/>
        <v>11</v>
      </c>
      <c r="H9" s="131">
        <f t="shared" si="1"/>
        <v>5.999999999999993</v>
      </c>
      <c r="I9" s="135">
        <f t="shared" si="2"/>
        <v>500</v>
      </c>
      <c r="J9" s="36">
        <f t="shared" si="2"/>
        <v>1000</v>
      </c>
      <c r="K9" s="36">
        <f t="shared" si="2"/>
        <v>1000</v>
      </c>
      <c r="L9" s="36">
        <f t="shared" si="2"/>
        <v>1000</v>
      </c>
      <c r="M9" s="103">
        <f t="shared" si="2"/>
        <v>1000</v>
      </c>
      <c r="N9" s="133">
        <f t="shared" si="3"/>
        <v>9500</v>
      </c>
      <c r="O9" s="36">
        <f t="shared" si="4"/>
        <v>8500</v>
      </c>
      <c r="P9" s="36">
        <f t="shared" si="5"/>
        <v>7500</v>
      </c>
      <c r="Q9" s="36">
        <f t="shared" si="6"/>
        <v>6500</v>
      </c>
      <c r="R9" s="103">
        <f t="shared" si="7"/>
        <v>5500</v>
      </c>
    </row>
    <row r="10" spans="1:18" ht="13.5" customHeight="1">
      <c r="A10" s="78" t="s">
        <v>188</v>
      </c>
      <c r="B10" s="88" t="s">
        <v>181</v>
      </c>
      <c r="C10" s="79">
        <v>3</v>
      </c>
      <c r="D10" s="79">
        <v>12</v>
      </c>
      <c r="E10" s="80">
        <v>2000</v>
      </c>
      <c r="F10" s="81">
        <v>0.1</v>
      </c>
      <c r="G10" s="94">
        <f t="shared" si="0"/>
        <v>13</v>
      </c>
      <c r="H10" s="131">
        <f t="shared" si="1"/>
        <v>11.000000000000007</v>
      </c>
      <c r="I10" s="135">
        <f t="shared" si="2"/>
        <v>0</v>
      </c>
      <c r="J10" s="36">
        <f t="shared" si="2"/>
        <v>0</v>
      </c>
      <c r="K10" s="36">
        <f t="shared" si="2"/>
        <v>16.666666666666675</v>
      </c>
      <c r="L10" s="36">
        <f t="shared" si="2"/>
        <v>200</v>
      </c>
      <c r="M10" s="103">
        <f t="shared" si="2"/>
        <v>200</v>
      </c>
      <c r="N10" s="133">
        <f t="shared" si="3"/>
        <v>0</v>
      </c>
      <c r="O10" s="36">
        <f t="shared" si="4"/>
        <v>0</v>
      </c>
      <c r="P10" s="36">
        <f t="shared" si="5"/>
        <v>1983.3333333333333</v>
      </c>
      <c r="Q10" s="36">
        <f t="shared" si="6"/>
        <v>1783.3333333333333</v>
      </c>
      <c r="R10" s="103">
        <f t="shared" si="7"/>
        <v>1583.3333333333333</v>
      </c>
    </row>
    <row r="11" spans="1:18" ht="13.5" customHeight="1">
      <c r="A11" s="78"/>
      <c r="B11" s="88" t="s">
        <v>179</v>
      </c>
      <c r="C11" s="79">
        <v>4</v>
      </c>
      <c r="D11" s="79">
        <v>12</v>
      </c>
      <c r="E11" s="80">
        <v>2222</v>
      </c>
      <c r="F11" s="81">
        <v>0.12</v>
      </c>
      <c r="G11" s="94">
        <f t="shared" si="0"/>
        <v>13</v>
      </c>
      <c r="H11" s="131">
        <f t="shared" si="1"/>
        <v>2.999999999999993</v>
      </c>
      <c r="I11" s="135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22.22000000000001</v>
      </c>
      <c r="M11" s="103">
        <f t="shared" si="2"/>
        <v>266.64</v>
      </c>
      <c r="N11" s="133">
        <f t="shared" si="3"/>
        <v>0</v>
      </c>
      <c r="O11" s="36">
        <f t="shared" si="4"/>
        <v>0</v>
      </c>
      <c r="P11" s="36">
        <f t="shared" si="5"/>
        <v>0</v>
      </c>
      <c r="Q11" s="36">
        <f t="shared" si="6"/>
        <v>2199.78</v>
      </c>
      <c r="R11" s="103">
        <f t="shared" si="7"/>
        <v>1933.1400000000003</v>
      </c>
    </row>
    <row r="12" spans="1:18" ht="13.5" customHeight="1">
      <c r="A12" s="78"/>
      <c r="B12" s="88"/>
      <c r="C12" s="79"/>
      <c r="D12" s="79"/>
      <c r="E12" s="80"/>
      <c r="F12" s="81"/>
      <c r="G12" s="94">
        <f t="shared" si="0"/>
        <v>0</v>
      </c>
      <c r="H12" s="131">
        <f t="shared" si="1"/>
        <v>0</v>
      </c>
      <c r="I12" s="135">
        <f t="shared" si="2"/>
        <v>0</v>
      </c>
      <c r="J12" s="36">
        <f t="shared" si="2"/>
        <v>0</v>
      </c>
      <c r="K12" s="36">
        <f t="shared" si="2"/>
        <v>0</v>
      </c>
      <c r="L12" s="36">
        <f t="shared" si="2"/>
        <v>0</v>
      </c>
      <c r="M12" s="103">
        <f t="shared" si="2"/>
        <v>0</v>
      </c>
      <c r="N12" s="133">
        <f t="shared" si="3"/>
        <v>0</v>
      </c>
      <c r="O12" s="36">
        <f t="shared" si="4"/>
        <v>0</v>
      </c>
      <c r="P12" s="36">
        <f t="shared" si="5"/>
        <v>0</v>
      </c>
      <c r="Q12" s="36">
        <f t="shared" si="6"/>
        <v>0</v>
      </c>
      <c r="R12" s="103">
        <f t="shared" si="7"/>
        <v>0</v>
      </c>
    </row>
    <row r="13" spans="1:18" ht="13.5" customHeight="1">
      <c r="A13" s="78"/>
      <c r="B13" s="88"/>
      <c r="C13" s="79"/>
      <c r="D13" s="79"/>
      <c r="E13" s="80"/>
      <c r="F13" s="81"/>
      <c r="G13" s="94">
        <f t="shared" si="0"/>
        <v>0</v>
      </c>
      <c r="H13" s="131">
        <f t="shared" si="1"/>
        <v>0</v>
      </c>
      <c r="I13" s="135">
        <f t="shared" si="2"/>
        <v>0</v>
      </c>
      <c r="J13" s="36">
        <f t="shared" si="2"/>
        <v>0</v>
      </c>
      <c r="K13" s="36">
        <f t="shared" si="2"/>
        <v>0</v>
      </c>
      <c r="L13" s="36">
        <f t="shared" si="2"/>
        <v>0</v>
      </c>
      <c r="M13" s="103">
        <f t="shared" si="2"/>
        <v>0</v>
      </c>
      <c r="N13" s="133">
        <f t="shared" si="3"/>
        <v>0</v>
      </c>
      <c r="O13" s="36">
        <f t="shared" si="4"/>
        <v>0</v>
      </c>
      <c r="P13" s="36">
        <f t="shared" si="5"/>
        <v>0</v>
      </c>
      <c r="Q13" s="36">
        <f t="shared" si="6"/>
        <v>0</v>
      </c>
      <c r="R13" s="103">
        <f t="shared" si="7"/>
        <v>0</v>
      </c>
    </row>
    <row r="14" spans="1:18" ht="13.5" customHeight="1">
      <c r="A14" s="78"/>
      <c r="B14" s="88"/>
      <c r="C14" s="79"/>
      <c r="D14" s="79"/>
      <c r="E14" s="80"/>
      <c r="F14" s="81"/>
      <c r="G14" s="94">
        <f t="shared" si="0"/>
        <v>0</v>
      </c>
      <c r="H14" s="131">
        <f t="shared" si="1"/>
        <v>0</v>
      </c>
      <c r="I14" s="135">
        <f t="shared" si="2"/>
        <v>0</v>
      </c>
      <c r="J14" s="36">
        <f t="shared" si="2"/>
        <v>0</v>
      </c>
      <c r="K14" s="36">
        <f t="shared" si="2"/>
        <v>0</v>
      </c>
      <c r="L14" s="36">
        <f t="shared" si="2"/>
        <v>0</v>
      </c>
      <c r="M14" s="103">
        <f t="shared" si="2"/>
        <v>0</v>
      </c>
      <c r="N14" s="133">
        <f t="shared" si="3"/>
        <v>0</v>
      </c>
      <c r="O14" s="36">
        <f t="shared" si="4"/>
        <v>0</v>
      </c>
      <c r="P14" s="36">
        <f t="shared" si="5"/>
        <v>0</v>
      </c>
      <c r="Q14" s="36">
        <f t="shared" si="6"/>
        <v>0</v>
      </c>
      <c r="R14" s="103">
        <f t="shared" si="7"/>
        <v>0</v>
      </c>
    </row>
    <row r="15" spans="1:18" ht="13.5" customHeight="1">
      <c r="A15" s="78"/>
      <c r="B15" s="88"/>
      <c r="C15" s="79"/>
      <c r="D15" s="79"/>
      <c r="E15" s="80"/>
      <c r="F15" s="81"/>
      <c r="G15" s="94">
        <f t="shared" si="0"/>
        <v>0</v>
      </c>
      <c r="H15" s="131">
        <f t="shared" si="1"/>
        <v>0</v>
      </c>
      <c r="I15" s="135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103">
        <f t="shared" si="2"/>
        <v>0</v>
      </c>
      <c r="N15" s="133">
        <f t="shared" si="3"/>
        <v>0</v>
      </c>
      <c r="O15" s="36">
        <f t="shared" si="4"/>
        <v>0</v>
      </c>
      <c r="P15" s="36">
        <f t="shared" si="5"/>
        <v>0</v>
      </c>
      <c r="Q15" s="36">
        <f t="shared" si="6"/>
        <v>0</v>
      </c>
      <c r="R15" s="103">
        <f t="shared" si="7"/>
        <v>0</v>
      </c>
    </row>
    <row r="16" spans="1:18" ht="13.5" customHeight="1">
      <c r="A16" s="78"/>
      <c r="B16" s="88"/>
      <c r="C16" s="79"/>
      <c r="D16" s="79"/>
      <c r="E16" s="80"/>
      <c r="F16" s="81"/>
      <c r="G16" s="94">
        <f aca="true" t="shared" si="8" ref="G16:G28">IF(C16&gt;0,ROUNDDOWN((C16*12+D16-2+12/F16)/12,0),0)</f>
        <v>0</v>
      </c>
      <c r="H16" s="131">
        <f aca="true" t="shared" si="9" ref="H16:H28">IF(C16&gt;0,MOD((C16*12+D16-2+12/F16)/12,1)*12+1,0)</f>
        <v>0</v>
      </c>
      <c r="I16" s="135">
        <f aca="true" t="shared" si="10" ref="I16:M28">(IF(I$4&lt;$C16,0)+IF(I$4=$C16,1-($D16-1)/12)+IF(I$4&gt;$C16,1)-IF(I$4=$G16,1-($H16)/12)-IF(I$4&gt;$G16,1))*($F16*$E16)</f>
        <v>0</v>
      </c>
      <c r="J16" s="36">
        <f t="shared" si="10"/>
        <v>0</v>
      </c>
      <c r="K16" s="36">
        <f t="shared" si="10"/>
        <v>0</v>
      </c>
      <c r="L16" s="36">
        <f t="shared" si="10"/>
        <v>0</v>
      </c>
      <c r="M16" s="103">
        <f t="shared" si="10"/>
        <v>0</v>
      </c>
      <c r="N16" s="133">
        <f aca="true" t="shared" si="11" ref="N16:N28">IF(N$4=$C16,$E16-I16,0)</f>
        <v>0</v>
      </c>
      <c r="O16" s="36">
        <f aca="true" t="shared" si="12" ref="O16:O28">IF(O$4=$C16,$E16-J16,0)+IF(O$4&gt;$C16,N16-J16)</f>
        <v>0</v>
      </c>
      <c r="P16" s="36">
        <f aca="true" t="shared" si="13" ref="P16:P28">IF(P$4=$C16,$E16-K16,0)+IF(P$4&gt;$C16,O16-K16)</f>
        <v>0</v>
      </c>
      <c r="Q16" s="36">
        <f aca="true" t="shared" si="14" ref="Q16:Q28">IF(Q$4=$C16,$E16-L16,0)+IF(Q$4&gt;$C16,P16-L16)</f>
        <v>0</v>
      </c>
      <c r="R16" s="103">
        <f aca="true" t="shared" si="15" ref="R16:R28">IF(R$4=$C16,$E16-M16,0)+IF(R$4&gt;$C16,Q16-M16)</f>
        <v>0</v>
      </c>
    </row>
    <row r="17" spans="1:18" ht="13.5" customHeight="1">
      <c r="A17" s="78"/>
      <c r="B17" s="88"/>
      <c r="C17" s="79"/>
      <c r="D17" s="79"/>
      <c r="E17" s="80"/>
      <c r="F17" s="81"/>
      <c r="G17" s="94">
        <f t="shared" si="8"/>
        <v>0</v>
      </c>
      <c r="H17" s="131">
        <f t="shared" si="9"/>
        <v>0</v>
      </c>
      <c r="I17" s="135">
        <f t="shared" si="10"/>
        <v>0</v>
      </c>
      <c r="J17" s="36">
        <f t="shared" si="10"/>
        <v>0</v>
      </c>
      <c r="K17" s="36">
        <f t="shared" si="10"/>
        <v>0</v>
      </c>
      <c r="L17" s="36">
        <f t="shared" si="10"/>
        <v>0</v>
      </c>
      <c r="M17" s="103">
        <f t="shared" si="10"/>
        <v>0</v>
      </c>
      <c r="N17" s="133">
        <f t="shared" si="11"/>
        <v>0</v>
      </c>
      <c r="O17" s="36">
        <f t="shared" si="12"/>
        <v>0</v>
      </c>
      <c r="P17" s="36">
        <f t="shared" si="13"/>
        <v>0</v>
      </c>
      <c r="Q17" s="36">
        <f t="shared" si="14"/>
        <v>0</v>
      </c>
      <c r="R17" s="103">
        <f t="shared" si="15"/>
        <v>0</v>
      </c>
    </row>
    <row r="18" spans="1:18" ht="13.5" customHeight="1">
      <c r="A18" s="78"/>
      <c r="B18" s="88"/>
      <c r="C18" s="79"/>
      <c r="D18" s="79"/>
      <c r="E18" s="80"/>
      <c r="F18" s="81"/>
      <c r="G18" s="94">
        <f t="shared" si="8"/>
        <v>0</v>
      </c>
      <c r="H18" s="131">
        <f t="shared" si="9"/>
        <v>0</v>
      </c>
      <c r="I18" s="135">
        <f t="shared" si="10"/>
        <v>0</v>
      </c>
      <c r="J18" s="36">
        <f t="shared" si="10"/>
        <v>0</v>
      </c>
      <c r="K18" s="36">
        <f t="shared" si="10"/>
        <v>0</v>
      </c>
      <c r="L18" s="36">
        <f t="shared" si="10"/>
        <v>0</v>
      </c>
      <c r="M18" s="103">
        <f t="shared" si="10"/>
        <v>0</v>
      </c>
      <c r="N18" s="133">
        <f t="shared" si="11"/>
        <v>0</v>
      </c>
      <c r="O18" s="36">
        <f t="shared" si="12"/>
        <v>0</v>
      </c>
      <c r="P18" s="36">
        <f t="shared" si="13"/>
        <v>0</v>
      </c>
      <c r="Q18" s="36">
        <f t="shared" si="14"/>
        <v>0</v>
      </c>
      <c r="R18" s="103">
        <f t="shared" si="15"/>
        <v>0</v>
      </c>
    </row>
    <row r="19" spans="1:18" ht="13.5" customHeight="1">
      <c r="A19" s="78"/>
      <c r="B19" s="88"/>
      <c r="C19" s="79"/>
      <c r="D19" s="79"/>
      <c r="E19" s="80"/>
      <c r="F19" s="81"/>
      <c r="G19" s="94">
        <f t="shared" si="8"/>
        <v>0</v>
      </c>
      <c r="H19" s="131">
        <f t="shared" si="9"/>
        <v>0</v>
      </c>
      <c r="I19" s="135">
        <f t="shared" si="10"/>
        <v>0</v>
      </c>
      <c r="J19" s="36">
        <f t="shared" si="10"/>
        <v>0</v>
      </c>
      <c r="K19" s="36">
        <f t="shared" si="10"/>
        <v>0</v>
      </c>
      <c r="L19" s="36">
        <f t="shared" si="10"/>
        <v>0</v>
      </c>
      <c r="M19" s="103">
        <f t="shared" si="10"/>
        <v>0</v>
      </c>
      <c r="N19" s="133">
        <f t="shared" si="11"/>
        <v>0</v>
      </c>
      <c r="O19" s="36">
        <f t="shared" si="12"/>
        <v>0</v>
      </c>
      <c r="P19" s="36">
        <f t="shared" si="13"/>
        <v>0</v>
      </c>
      <c r="Q19" s="36">
        <f t="shared" si="14"/>
        <v>0</v>
      </c>
      <c r="R19" s="103">
        <f t="shared" si="15"/>
        <v>0</v>
      </c>
    </row>
    <row r="20" spans="1:18" ht="13.5" customHeight="1">
      <c r="A20" s="78"/>
      <c r="B20" s="88"/>
      <c r="C20" s="79"/>
      <c r="D20" s="79"/>
      <c r="E20" s="80"/>
      <c r="F20" s="81"/>
      <c r="G20" s="94">
        <f t="shared" si="8"/>
        <v>0</v>
      </c>
      <c r="H20" s="131">
        <f t="shared" si="9"/>
        <v>0</v>
      </c>
      <c r="I20" s="135">
        <f t="shared" si="10"/>
        <v>0</v>
      </c>
      <c r="J20" s="36">
        <f t="shared" si="10"/>
        <v>0</v>
      </c>
      <c r="K20" s="36">
        <f t="shared" si="10"/>
        <v>0</v>
      </c>
      <c r="L20" s="36">
        <f t="shared" si="10"/>
        <v>0</v>
      </c>
      <c r="M20" s="103">
        <f t="shared" si="10"/>
        <v>0</v>
      </c>
      <c r="N20" s="133">
        <f t="shared" si="11"/>
        <v>0</v>
      </c>
      <c r="O20" s="36">
        <f t="shared" si="12"/>
        <v>0</v>
      </c>
      <c r="P20" s="36">
        <f t="shared" si="13"/>
        <v>0</v>
      </c>
      <c r="Q20" s="36">
        <f t="shared" si="14"/>
        <v>0</v>
      </c>
      <c r="R20" s="103">
        <f t="shared" si="15"/>
        <v>0</v>
      </c>
    </row>
    <row r="21" spans="1:18" ht="13.5" customHeight="1">
      <c r="A21" s="78"/>
      <c r="B21" s="88"/>
      <c r="C21" s="79"/>
      <c r="D21" s="79"/>
      <c r="E21" s="80"/>
      <c r="F21" s="81"/>
      <c r="G21" s="94">
        <f t="shared" si="8"/>
        <v>0</v>
      </c>
      <c r="H21" s="131">
        <f t="shared" si="9"/>
        <v>0</v>
      </c>
      <c r="I21" s="135">
        <f t="shared" si="10"/>
        <v>0</v>
      </c>
      <c r="J21" s="36">
        <f t="shared" si="10"/>
        <v>0</v>
      </c>
      <c r="K21" s="36">
        <f t="shared" si="10"/>
        <v>0</v>
      </c>
      <c r="L21" s="36">
        <f t="shared" si="10"/>
        <v>0</v>
      </c>
      <c r="M21" s="103">
        <f t="shared" si="10"/>
        <v>0</v>
      </c>
      <c r="N21" s="133">
        <f t="shared" si="11"/>
        <v>0</v>
      </c>
      <c r="O21" s="36">
        <f t="shared" si="12"/>
        <v>0</v>
      </c>
      <c r="P21" s="36">
        <f t="shared" si="13"/>
        <v>0</v>
      </c>
      <c r="Q21" s="36">
        <f t="shared" si="14"/>
        <v>0</v>
      </c>
      <c r="R21" s="103">
        <f t="shared" si="15"/>
        <v>0</v>
      </c>
    </row>
    <row r="22" spans="1:18" ht="13.5" customHeight="1">
      <c r="A22" s="78"/>
      <c r="B22" s="88"/>
      <c r="C22" s="79"/>
      <c r="D22" s="79"/>
      <c r="E22" s="80"/>
      <c r="F22" s="81"/>
      <c r="G22" s="94">
        <f t="shared" si="8"/>
        <v>0</v>
      </c>
      <c r="H22" s="131">
        <f t="shared" si="9"/>
        <v>0</v>
      </c>
      <c r="I22" s="135">
        <f t="shared" si="10"/>
        <v>0</v>
      </c>
      <c r="J22" s="36">
        <f t="shared" si="10"/>
        <v>0</v>
      </c>
      <c r="K22" s="36">
        <f t="shared" si="10"/>
        <v>0</v>
      </c>
      <c r="L22" s="36">
        <f t="shared" si="10"/>
        <v>0</v>
      </c>
      <c r="M22" s="103">
        <f t="shared" si="10"/>
        <v>0</v>
      </c>
      <c r="N22" s="133">
        <f t="shared" si="11"/>
        <v>0</v>
      </c>
      <c r="O22" s="36">
        <f t="shared" si="12"/>
        <v>0</v>
      </c>
      <c r="P22" s="36">
        <f t="shared" si="13"/>
        <v>0</v>
      </c>
      <c r="Q22" s="36">
        <f t="shared" si="14"/>
        <v>0</v>
      </c>
      <c r="R22" s="103">
        <f t="shared" si="15"/>
        <v>0</v>
      </c>
    </row>
    <row r="23" spans="1:18" ht="13.5" customHeight="1">
      <c r="A23" s="78"/>
      <c r="B23" s="88"/>
      <c r="C23" s="79"/>
      <c r="D23" s="79"/>
      <c r="E23" s="80"/>
      <c r="F23" s="81"/>
      <c r="G23" s="94">
        <f t="shared" si="8"/>
        <v>0</v>
      </c>
      <c r="H23" s="131">
        <f t="shared" si="9"/>
        <v>0</v>
      </c>
      <c r="I23" s="135">
        <f t="shared" si="10"/>
        <v>0</v>
      </c>
      <c r="J23" s="36">
        <f t="shared" si="10"/>
        <v>0</v>
      </c>
      <c r="K23" s="36">
        <f t="shared" si="10"/>
        <v>0</v>
      </c>
      <c r="L23" s="36">
        <f t="shared" si="10"/>
        <v>0</v>
      </c>
      <c r="M23" s="103">
        <f t="shared" si="10"/>
        <v>0</v>
      </c>
      <c r="N23" s="133">
        <f t="shared" si="11"/>
        <v>0</v>
      </c>
      <c r="O23" s="36">
        <f t="shared" si="12"/>
        <v>0</v>
      </c>
      <c r="P23" s="36">
        <f t="shared" si="13"/>
        <v>0</v>
      </c>
      <c r="Q23" s="36">
        <f t="shared" si="14"/>
        <v>0</v>
      </c>
      <c r="R23" s="103">
        <f t="shared" si="15"/>
        <v>0</v>
      </c>
    </row>
    <row r="24" spans="1:18" ht="13.5" customHeight="1">
      <c r="A24" s="78"/>
      <c r="B24" s="88"/>
      <c r="C24" s="79"/>
      <c r="D24" s="79"/>
      <c r="E24" s="80"/>
      <c r="F24" s="81"/>
      <c r="G24" s="94">
        <f t="shared" si="8"/>
        <v>0</v>
      </c>
      <c r="H24" s="131">
        <f t="shared" si="9"/>
        <v>0</v>
      </c>
      <c r="I24" s="135">
        <f t="shared" si="10"/>
        <v>0</v>
      </c>
      <c r="J24" s="36">
        <f t="shared" si="10"/>
        <v>0</v>
      </c>
      <c r="K24" s="36">
        <f t="shared" si="10"/>
        <v>0</v>
      </c>
      <c r="L24" s="36">
        <f t="shared" si="10"/>
        <v>0</v>
      </c>
      <c r="M24" s="103">
        <f t="shared" si="10"/>
        <v>0</v>
      </c>
      <c r="N24" s="133">
        <f t="shared" si="11"/>
        <v>0</v>
      </c>
      <c r="O24" s="36">
        <f t="shared" si="12"/>
        <v>0</v>
      </c>
      <c r="P24" s="36">
        <f t="shared" si="13"/>
        <v>0</v>
      </c>
      <c r="Q24" s="36">
        <f t="shared" si="14"/>
        <v>0</v>
      </c>
      <c r="R24" s="103">
        <f t="shared" si="15"/>
        <v>0</v>
      </c>
    </row>
    <row r="25" spans="1:18" ht="13.5" customHeight="1">
      <c r="A25" s="78"/>
      <c r="B25" s="88"/>
      <c r="C25" s="79"/>
      <c r="D25" s="79"/>
      <c r="E25" s="80"/>
      <c r="F25" s="81"/>
      <c r="G25" s="94">
        <f t="shared" si="8"/>
        <v>0</v>
      </c>
      <c r="H25" s="131">
        <f t="shared" si="9"/>
        <v>0</v>
      </c>
      <c r="I25" s="135">
        <f t="shared" si="10"/>
        <v>0</v>
      </c>
      <c r="J25" s="36">
        <f t="shared" si="10"/>
        <v>0</v>
      </c>
      <c r="K25" s="36">
        <f t="shared" si="10"/>
        <v>0</v>
      </c>
      <c r="L25" s="36">
        <f t="shared" si="10"/>
        <v>0</v>
      </c>
      <c r="M25" s="103">
        <f t="shared" si="10"/>
        <v>0</v>
      </c>
      <c r="N25" s="133">
        <f t="shared" si="11"/>
        <v>0</v>
      </c>
      <c r="O25" s="36">
        <f t="shared" si="12"/>
        <v>0</v>
      </c>
      <c r="P25" s="36">
        <f t="shared" si="13"/>
        <v>0</v>
      </c>
      <c r="Q25" s="36">
        <f t="shared" si="14"/>
        <v>0</v>
      </c>
      <c r="R25" s="103">
        <f t="shared" si="15"/>
        <v>0</v>
      </c>
    </row>
    <row r="26" spans="1:18" ht="13.5" customHeight="1">
      <c r="A26" s="78"/>
      <c r="B26" s="88"/>
      <c r="C26" s="79"/>
      <c r="D26" s="79"/>
      <c r="E26" s="80"/>
      <c r="F26" s="81"/>
      <c r="G26" s="94">
        <f t="shared" si="8"/>
        <v>0</v>
      </c>
      <c r="H26" s="131">
        <f t="shared" si="9"/>
        <v>0</v>
      </c>
      <c r="I26" s="135">
        <f t="shared" si="10"/>
        <v>0</v>
      </c>
      <c r="J26" s="36">
        <f t="shared" si="10"/>
        <v>0</v>
      </c>
      <c r="K26" s="36">
        <f t="shared" si="10"/>
        <v>0</v>
      </c>
      <c r="L26" s="36">
        <f t="shared" si="10"/>
        <v>0</v>
      </c>
      <c r="M26" s="103">
        <f t="shared" si="10"/>
        <v>0</v>
      </c>
      <c r="N26" s="133">
        <f t="shared" si="11"/>
        <v>0</v>
      </c>
      <c r="O26" s="36">
        <f t="shared" si="12"/>
        <v>0</v>
      </c>
      <c r="P26" s="36">
        <f t="shared" si="13"/>
        <v>0</v>
      </c>
      <c r="Q26" s="36">
        <f t="shared" si="14"/>
        <v>0</v>
      </c>
      <c r="R26" s="103">
        <f t="shared" si="15"/>
        <v>0</v>
      </c>
    </row>
    <row r="27" spans="1:18" ht="13.5" customHeight="1">
      <c r="A27" s="78"/>
      <c r="B27" s="88"/>
      <c r="C27" s="79"/>
      <c r="D27" s="79"/>
      <c r="E27" s="80"/>
      <c r="F27" s="81"/>
      <c r="G27" s="94">
        <f t="shared" si="8"/>
        <v>0</v>
      </c>
      <c r="H27" s="131">
        <f t="shared" si="9"/>
        <v>0</v>
      </c>
      <c r="I27" s="135">
        <f t="shared" si="10"/>
        <v>0</v>
      </c>
      <c r="J27" s="36">
        <f t="shared" si="10"/>
        <v>0</v>
      </c>
      <c r="K27" s="36">
        <f t="shared" si="10"/>
        <v>0</v>
      </c>
      <c r="L27" s="36">
        <f t="shared" si="10"/>
        <v>0</v>
      </c>
      <c r="M27" s="103">
        <f t="shared" si="10"/>
        <v>0</v>
      </c>
      <c r="N27" s="133">
        <f t="shared" si="11"/>
        <v>0</v>
      </c>
      <c r="O27" s="36">
        <f t="shared" si="12"/>
        <v>0</v>
      </c>
      <c r="P27" s="36">
        <f t="shared" si="13"/>
        <v>0</v>
      </c>
      <c r="Q27" s="36">
        <f t="shared" si="14"/>
        <v>0</v>
      </c>
      <c r="R27" s="103">
        <f t="shared" si="15"/>
        <v>0</v>
      </c>
    </row>
    <row r="28" spans="1:18" ht="13.5" customHeight="1">
      <c r="A28" s="78"/>
      <c r="B28" s="88"/>
      <c r="C28" s="79"/>
      <c r="D28" s="79"/>
      <c r="E28" s="80"/>
      <c r="F28" s="81"/>
      <c r="G28" s="94">
        <f t="shared" si="8"/>
        <v>0</v>
      </c>
      <c r="H28" s="131">
        <f t="shared" si="9"/>
        <v>0</v>
      </c>
      <c r="I28" s="135">
        <f t="shared" si="10"/>
        <v>0</v>
      </c>
      <c r="J28" s="36">
        <f t="shared" si="10"/>
        <v>0</v>
      </c>
      <c r="K28" s="36">
        <f t="shared" si="10"/>
        <v>0</v>
      </c>
      <c r="L28" s="36">
        <f t="shared" si="10"/>
        <v>0</v>
      </c>
      <c r="M28" s="103">
        <f t="shared" si="10"/>
        <v>0</v>
      </c>
      <c r="N28" s="133">
        <f t="shared" si="11"/>
        <v>0</v>
      </c>
      <c r="O28" s="36">
        <f t="shared" si="12"/>
        <v>0</v>
      </c>
      <c r="P28" s="36">
        <f t="shared" si="13"/>
        <v>0</v>
      </c>
      <c r="Q28" s="36">
        <f t="shared" si="14"/>
        <v>0</v>
      </c>
      <c r="R28" s="103">
        <f t="shared" si="15"/>
        <v>0</v>
      </c>
    </row>
    <row r="29" spans="1:18" ht="13.5" customHeight="1" thickBot="1">
      <c r="A29" s="82"/>
      <c r="B29" s="89"/>
      <c r="C29" s="83"/>
      <c r="D29" s="83"/>
      <c r="E29" s="84"/>
      <c r="F29" s="85"/>
      <c r="G29" s="95">
        <f>IF(C29&gt;0,ROUNDDOWN((C29*12+D29-2+12/F29)/12,0),0)</f>
        <v>0</v>
      </c>
      <c r="H29" s="158">
        <f>IF(C29&gt;0,MOD((C29*12+D29-2+12/F29)/12,1)*12+1,0)</f>
        <v>0</v>
      </c>
      <c r="I29" s="138">
        <f>(IF(I$4&lt;$C29,0)+IF(I$4=$C29,1-($D29-1)/12)+IF(I$4&gt;$C29,1)-IF(I$4=$G29,1-($H29)/12)-IF(I$4&gt;$G29,1))*($F29*$E29)</f>
        <v>0</v>
      </c>
      <c r="J29" s="96">
        <f>(IF(J$4&lt;$C29,0)+IF(J$4=$C29,1-($D29-1)/12)+IF(J$4&gt;$C29,1)-IF(J$4=$G29,1-($H29)/12)-IF(J$4&gt;$G29,1))*($F29*$E29)</f>
        <v>0</v>
      </c>
      <c r="K29" s="96">
        <f>(IF(K$4&lt;$C29,0)+IF(K$4=$C29,1-($D29-1)/12)+IF(K$4&gt;$C29,1)-IF(K$4=$G29,1-($H29)/12)-IF(K$4&gt;$G29,1))*($F29*$E29)</f>
        <v>0</v>
      </c>
      <c r="L29" s="96">
        <f>(IF(L$4&lt;$C29,0)+IF(L$4=$C29,1-($D29-1)/12)+IF(L$4&gt;$C29,1)-IF(L$4=$G29,1-($H29)/12)-IF(L$4&gt;$G29,1))*($F29*$E29)</f>
        <v>0</v>
      </c>
      <c r="M29" s="139">
        <f>(IF(M$4&lt;$C29,0)+IF(M$4=$C29,1-($D29-1)/12)+IF(M$4&gt;$C29,1)-IF(M$4=$G29,1-($H29)/12)-IF(M$4&gt;$G29,1))*($F29*$E29)</f>
        <v>0</v>
      </c>
      <c r="N29" s="140">
        <f>IF(N$4=$C29,$E29-I29,0)</f>
        <v>0</v>
      </c>
      <c r="O29" s="96">
        <f>IF(O$4=$C29,$E29-J29,0)+IF(O$4&gt;$C29,N29-J29)</f>
        <v>0</v>
      </c>
      <c r="P29" s="96">
        <f>IF(P$4=$C29,$E29-K29,0)+IF(P$4&gt;$C29,O29-K29)</f>
        <v>0</v>
      </c>
      <c r="Q29" s="96">
        <f>IF(Q$4=$C29,$E29-L29,0)+IF(Q$4&gt;$C29,P29-L29)</f>
        <v>0</v>
      </c>
      <c r="R29" s="139">
        <f>IF(R$4=$C29,$E29-M29,0)+IF(R$4&gt;$C29,Q29-M29)</f>
        <v>0</v>
      </c>
    </row>
    <row r="30" spans="1:18" ht="13.5" customHeight="1">
      <c r="A30" s="90" t="s">
        <v>179</v>
      </c>
      <c r="B30" s="97"/>
      <c r="C30" s="98"/>
      <c r="D30" s="98"/>
      <c r="E30" s="99"/>
      <c r="F30" s="100"/>
      <c r="G30" s="101"/>
      <c r="H30" s="130"/>
      <c r="I30" s="134">
        <f aca="true" t="shared" si="16" ref="I30:R33">IF($A30=$B$6,I$6,0)+IF($A30=$B$7,I$7)+IF($A30=$B$8,I$8)+IF($A30=$B$9,I$9)+IF($A30=$B$10,I$10)+IF($A30=$B$11,I$11)+IF($A30=$B$12,I$12)+IF($A30=$B$13,I$13)+IF($A30=$B$14,I$14)+IF($A30=$B$15,I$15)+IF($A30=$B$16,I$16)+IF($A30=$B$17,I$17)+IF($A30=$B$18,I$18)+IF($A30=$B$19,I$19)+IF($A30=$B$20,I$20)+IF($A30=$B$21,I$21)+IF($A30=$B$22,I$22)+IF($A30=$B$23,I$23)+IF($A30=$B$24,I$24)+IF($A30=$B$25,I$25)+IF($A30=$B$26,I$26)+IF($A30=$B$27,I$27)+IF($A30=$B$28,I$28)+IF($A30=$B$29,I$29)</f>
        <v>0</v>
      </c>
      <c r="J30" s="99">
        <f t="shared" si="16"/>
        <v>1925</v>
      </c>
      <c r="K30" s="99">
        <f t="shared" si="16"/>
        <v>1975</v>
      </c>
      <c r="L30" s="99">
        <f t="shared" si="16"/>
        <v>1997.22</v>
      </c>
      <c r="M30" s="102">
        <f t="shared" si="16"/>
        <v>2241.64</v>
      </c>
      <c r="N30" s="134">
        <f t="shared" si="16"/>
        <v>0</v>
      </c>
      <c r="O30" s="99">
        <f t="shared" si="16"/>
        <v>20575</v>
      </c>
      <c r="P30" s="99">
        <f t="shared" si="16"/>
        <v>18600</v>
      </c>
      <c r="Q30" s="99">
        <f t="shared" si="16"/>
        <v>18824.78</v>
      </c>
      <c r="R30" s="102">
        <f t="shared" si="16"/>
        <v>16583.14</v>
      </c>
    </row>
    <row r="31" spans="1:18" ht="13.5" customHeight="1">
      <c r="A31" s="91" t="s">
        <v>180</v>
      </c>
      <c r="B31" s="13"/>
      <c r="C31" s="92"/>
      <c r="D31" s="92"/>
      <c r="E31" s="36"/>
      <c r="F31" s="93"/>
      <c r="G31" s="94"/>
      <c r="H31" s="131"/>
      <c r="I31" s="135">
        <f t="shared" si="16"/>
        <v>500</v>
      </c>
      <c r="J31" s="36">
        <f t="shared" si="16"/>
        <v>8500</v>
      </c>
      <c r="K31" s="36">
        <f t="shared" si="16"/>
        <v>11000</v>
      </c>
      <c r="L31" s="36">
        <f t="shared" si="16"/>
        <v>8500.000000000004</v>
      </c>
      <c r="M31" s="103">
        <f t="shared" si="16"/>
        <v>1000</v>
      </c>
      <c r="N31" s="135">
        <f t="shared" si="16"/>
        <v>9500</v>
      </c>
      <c r="O31" s="36">
        <f t="shared" si="16"/>
        <v>26000</v>
      </c>
      <c r="P31" s="36">
        <f t="shared" si="16"/>
        <v>15000</v>
      </c>
      <c r="Q31" s="36">
        <f t="shared" si="16"/>
        <v>6499.999999999996</v>
      </c>
      <c r="R31" s="103">
        <f t="shared" si="16"/>
        <v>5499.999999999996</v>
      </c>
    </row>
    <row r="32" spans="1:18" ht="13.5" customHeight="1">
      <c r="A32" s="91" t="s">
        <v>181</v>
      </c>
      <c r="B32" s="13"/>
      <c r="C32" s="92"/>
      <c r="D32" s="92"/>
      <c r="E32" s="36"/>
      <c r="F32" s="93"/>
      <c r="G32" s="94"/>
      <c r="H32" s="131"/>
      <c r="I32" s="135">
        <f t="shared" si="16"/>
        <v>0</v>
      </c>
      <c r="J32" s="36">
        <f t="shared" si="16"/>
        <v>0</v>
      </c>
      <c r="K32" s="36">
        <f t="shared" si="16"/>
        <v>16.666666666666675</v>
      </c>
      <c r="L32" s="36">
        <f t="shared" si="16"/>
        <v>200</v>
      </c>
      <c r="M32" s="103">
        <f t="shared" si="16"/>
        <v>200</v>
      </c>
      <c r="N32" s="135">
        <f t="shared" si="16"/>
        <v>0</v>
      </c>
      <c r="O32" s="36">
        <f t="shared" si="16"/>
        <v>0</v>
      </c>
      <c r="P32" s="36">
        <f t="shared" si="16"/>
        <v>1983.3333333333333</v>
      </c>
      <c r="Q32" s="36">
        <f t="shared" si="16"/>
        <v>1783.3333333333333</v>
      </c>
      <c r="R32" s="103">
        <f t="shared" si="16"/>
        <v>1583.3333333333333</v>
      </c>
    </row>
    <row r="33" spans="1:18" ht="13.5" customHeight="1">
      <c r="A33" s="91" t="s">
        <v>182</v>
      </c>
      <c r="B33" s="13"/>
      <c r="C33" s="92"/>
      <c r="D33" s="92"/>
      <c r="E33" s="36"/>
      <c r="F33" s="93"/>
      <c r="G33" s="94"/>
      <c r="H33" s="131"/>
      <c r="I33" s="135">
        <f t="shared" si="16"/>
        <v>0</v>
      </c>
      <c r="J33" s="36">
        <f t="shared" si="16"/>
        <v>0</v>
      </c>
      <c r="K33" s="36">
        <f t="shared" si="16"/>
        <v>0</v>
      </c>
      <c r="L33" s="36">
        <f t="shared" si="16"/>
        <v>0</v>
      </c>
      <c r="M33" s="103">
        <f t="shared" si="16"/>
        <v>0</v>
      </c>
      <c r="N33" s="135">
        <f t="shared" si="16"/>
        <v>0</v>
      </c>
      <c r="O33" s="36">
        <f t="shared" si="16"/>
        <v>0</v>
      </c>
      <c r="P33" s="36">
        <f t="shared" si="16"/>
        <v>0</v>
      </c>
      <c r="Q33" s="36">
        <f t="shared" si="16"/>
        <v>0</v>
      </c>
      <c r="R33" s="103">
        <f t="shared" si="16"/>
        <v>0</v>
      </c>
    </row>
    <row r="34" spans="1:18" s="28" customFormat="1" ht="13.5" customHeight="1" thickBot="1">
      <c r="A34" s="104" t="s">
        <v>177</v>
      </c>
      <c r="B34" s="105"/>
      <c r="C34" s="106"/>
      <c r="D34" s="106"/>
      <c r="E34" s="107"/>
      <c r="F34" s="108"/>
      <c r="G34" s="109"/>
      <c r="H34" s="137"/>
      <c r="I34" s="136">
        <f aca="true" t="shared" si="17" ref="I34:R34">SUM(I30:I33)</f>
        <v>500</v>
      </c>
      <c r="J34" s="107">
        <f t="shared" si="17"/>
        <v>10425</v>
      </c>
      <c r="K34" s="107">
        <f t="shared" si="17"/>
        <v>12991.666666666666</v>
      </c>
      <c r="L34" s="107">
        <f t="shared" si="17"/>
        <v>10697.220000000003</v>
      </c>
      <c r="M34" s="110">
        <f t="shared" si="17"/>
        <v>3441.64</v>
      </c>
      <c r="N34" s="136">
        <f t="shared" si="17"/>
        <v>9500</v>
      </c>
      <c r="O34" s="107">
        <f t="shared" si="17"/>
        <v>46575</v>
      </c>
      <c r="P34" s="107">
        <f t="shared" si="17"/>
        <v>35583.333333333336</v>
      </c>
      <c r="Q34" s="107">
        <f t="shared" si="17"/>
        <v>27108.113333333327</v>
      </c>
      <c r="R34" s="110">
        <f t="shared" si="17"/>
        <v>23666.473333333328</v>
      </c>
    </row>
    <row r="35" spans="1:18" s="115" customFormat="1" ht="13.5" customHeight="1">
      <c r="A35" s="111"/>
      <c r="B35" s="111"/>
      <c r="C35" s="111"/>
      <c r="D35" s="111"/>
      <c r="E35" s="112"/>
      <c r="F35" s="113"/>
      <c r="G35" s="114"/>
      <c r="H35" s="114"/>
      <c r="I35" s="141">
        <f aca="true" t="shared" si="18" ref="I35:R35">SUM(I6:I29)-I34</f>
        <v>0</v>
      </c>
      <c r="J35" s="141">
        <f t="shared" si="18"/>
        <v>0</v>
      </c>
      <c r="K35" s="141">
        <f t="shared" si="18"/>
        <v>0</v>
      </c>
      <c r="L35" s="141">
        <f t="shared" si="18"/>
        <v>0</v>
      </c>
      <c r="M35" s="141">
        <f t="shared" si="18"/>
        <v>0</v>
      </c>
      <c r="N35" s="141">
        <f t="shared" si="18"/>
        <v>0</v>
      </c>
      <c r="O35" s="141">
        <f t="shared" si="18"/>
        <v>0</v>
      </c>
      <c r="P35" s="141">
        <f t="shared" si="18"/>
        <v>0</v>
      </c>
      <c r="Q35" s="141">
        <f t="shared" si="18"/>
        <v>0</v>
      </c>
      <c r="R35" s="141">
        <f t="shared" si="18"/>
        <v>0</v>
      </c>
    </row>
  </sheetData>
  <sheetProtection password="C53A" sheet="1" objects="1" scenarios="1"/>
  <mergeCells count="4">
    <mergeCell ref="C4:D4"/>
    <mergeCell ref="G4:H4"/>
    <mergeCell ref="E4:E5"/>
    <mergeCell ref="F4:F5"/>
  </mergeCells>
  <dataValidations count="5">
    <dataValidation type="whole" allowBlank="1" showInputMessage="1" showErrorMessage="1" error="Vnesena vrednost mora biti med 1 in 5" sqref="C6:C29">
      <formula1>1</formula1>
      <formula2>5</formula2>
    </dataValidation>
    <dataValidation type="whole" allowBlank="1" showInputMessage="1" showErrorMessage="1" error="Vnesena vrednost mora biti med 1 in 12!" sqref="D6:D29">
      <formula1>1</formula1>
      <formula2>12</formula2>
    </dataValidation>
    <dataValidation type="decimal" allowBlank="1" showInputMessage="1" showErrorMessage="1" error="Vnesena vrednost amortizacije mora biti med 1% in 80%" sqref="F6:F29">
      <formula1>0.01</formula1>
      <formula2>0.8</formula2>
    </dataValidation>
    <dataValidation type="decimal" allowBlank="1" showInputMessage="1" showErrorMessage="1" error="Vnesena neto nabavna vrednost mora biti pozitivno število!" sqref="E6:E29">
      <formula1>0.01</formula1>
      <formula2>99999999</formula2>
    </dataValidation>
    <dataValidation type="list" allowBlank="1" showInputMessage="1" showErrorMessage="1" sqref="B6:B29">
      <formula1>$A$30:$A$33</formula1>
    </dataValidation>
  </dataValidations>
  <printOptions/>
  <pageMargins left="0.3937007874015748" right="0.3937007874015748" top="0.5905511811023623" bottom="0.5905511811023623" header="0" footer="0.1968503937007874"/>
  <pageSetup horizontalDpi="600" verticalDpi="600" orientation="landscape" paperSize="9" r:id="rId3"/>
  <headerFooter alignWithMargins="0">
    <oddFooter xml:space="preserve">&amp;L© ® Skupina Replika&amp;C&amp;A: &amp;P / &amp;N&amp;Rwww.replika.si © ®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F18"/>
  <sheetViews>
    <sheetView zoomScalePageLayoutView="0" workbookViewId="0" topLeftCell="A1">
      <selection activeCell="I17" sqref="I17"/>
    </sheetView>
  </sheetViews>
  <sheetFormatPr defaultColWidth="9.140625" defaultRowHeight="13.5" customHeight="1"/>
  <cols>
    <col min="1" max="1" width="48.7109375" style="16" customWidth="1"/>
    <col min="2" max="6" width="9.28125" style="16" customWidth="1"/>
    <col min="7" max="16384" width="9.140625" style="16" customWidth="1"/>
  </cols>
  <sheetData>
    <row r="1" spans="1:6" s="146" customFormat="1" ht="15.75" customHeight="1">
      <c r="A1" s="144" t="s">
        <v>165</v>
      </c>
      <c r="B1" s="144"/>
      <c r="C1" s="145"/>
      <c r="D1" s="145"/>
      <c r="E1" s="145"/>
      <c r="F1" s="145"/>
    </row>
    <row r="2" spans="1:6" s="9" customFormat="1" ht="13.5" customHeight="1">
      <c r="A2" s="1"/>
      <c r="C2" s="5"/>
      <c r="D2" s="5"/>
      <c r="E2" s="5"/>
      <c r="F2" s="5"/>
    </row>
    <row r="4" spans="1:2" ht="13.5" customHeight="1">
      <c r="A4" s="13" t="s">
        <v>166</v>
      </c>
      <c r="B4" s="48">
        <v>0.085</v>
      </c>
    </row>
    <row r="5" spans="1:2" ht="13.5" customHeight="1">
      <c r="A5" s="13" t="s">
        <v>167</v>
      </c>
      <c r="B5" s="41">
        <v>25</v>
      </c>
    </row>
    <row r="6" spans="1:2" ht="13.5" customHeight="1">
      <c r="A6" s="13" t="s">
        <v>168</v>
      </c>
      <c r="B6" s="41">
        <v>30</v>
      </c>
    </row>
    <row r="7" spans="1:2" ht="13.5" customHeight="1">
      <c r="A7" s="13" t="s">
        <v>169</v>
      </c>
      <c r="B7" s="41">
        <v>7</v>
      </c>
    </row>
    <row r="8" spans="1:2" ht="13.5" customHeight="1">
      <c r="A8" s="13" t="s">
        <v>170</v>
      </c>
      <c r="B8" s="86">
        <f>B7+B6-B5</f>
        <v>12</v>
      </c>
    </row>
    <row r="9" spans="1:2" ht="13.5" customHeight="1">
      <c r="A9" s="60"/>
      <c r="B9" s="87"/>
    </row>
    <row r="10" spans="1:2" ht="13.5" customHeight="1">
      <c r="A10" s="60"/>
      <c r="B10" s="87"/>
    </row>
    <row r="12" spans="1:6" ht="13.5" customHeight="1">
      <c r="A12" s="13"/>
      <c r="B12" s="2" t="s">
        <v>37</v>
      </c>
      <c r="C12" s="2" t="s">
        <v>40</v>
      </c>
      <c r="D12" s="2" t="s">
        <v>38</v>
      </c>
      <c r="E12" s="2" t="s">
        <v>39</v>
      </c>
      <c r="F12" s="2" t="s">
        <v>41</v>
      </c>
    </row>
    <row r="13" spans="1:6" ht="13.5" customHeight="1">
      <c r="A13" s="13" t="s">
        <v>198</v>
      </c>
      <c r="B13" s="38">
        <f>SUM(B14:B15)</f>
        <v>4270.328767123287</v>
      </c>
      <c r="C13" s="38">
        <f>SUM(C14:C15)</f>
        <v>5338.904109589041</v>
      </c>
      <c r="D13" s="38">
        <f>SUM(D14:D15)</f>
        <v>5511.643835616439</v>
      </c>
      <c r="E13" s="38">
        <f>SUM(E14:E15)</f>
        <v>4795.479452054795</v>
      </c>
      <c r="F13" s="38">
        <f>SUM(F14:F15)</f>
        <v>4534.493150684932</v>
      </c>
    </row>
    <row r="14" spans="1:6" ht="13.5" customHeight="1">
      <c r="A14" s="13" t="s">
        <v>199</v>
      </c>
      <c r="B14" s="38">
        <f>'Tocka preloma'!H24*$B$6/365</f>
        <v>4020.821917808219</v>
      </c>
      <c r="C14" s="38">
        <f>'Tocka preloma'!H25*$B$6/365</f>
        <v>5030.13698630137</v>
      </c>
      <c r="D14" s="38">
        <f>'Tocka preloma'!H26*$B$6/365</f>
        <v>5190.41095890411</v>
      </c>
      <c r="E14" s="38">
        <f>'Tocka preloma'!H27*$B$6/365</f>
        <v>4487.671232876713</v>
      </c>
      <c r="F14" s="38">
        <f>'Tocka preloma'!H28*$B$6/365</f>
        <v>4260.821917808219</v>
      </c>
    </row>
    <row r="15" spans="1:6" ht="13.5" customHeight="1">
      <c r="A15" s="13" t="s">
        <v>200</v>
      </c>
      <c r="B15" s="38">
        <f>'Tocka preloma'!I24*'Denarni tokovi'!$B$7/365</f>
        <v>249.5068493150685</v>
      </c>
      <c r="C15" s="38">
        <f>'Tocka preloma'!I25*'Denarni tokovi'!$B$7/365</f>
        <v>308.7671232876712</v>
      </c>
      <c r="D15" s="38">
        <f>'Tocka preloma'!I26*'Denarni tokovi'!$B$7/365</f>
        <v>321.2328767123288</v>
      </c>
      <c r="E15" s="38">
        <f>'Tocka preloma'!I27*'Denarni tokovi'!$B$7/365</f>
        <v>307.8082191780822</v>
      </c>
      <c r="F15" s="38">
        <f>'Tocka preloma'!I28*'Denarni tokovi'!$B$7/365</f>
        <v>273.67123287671234</v>
      </c>
    </row>
    <row r="16" spans="1:6" ht="13.5" customHeight="1">
      <c r="A16" s="13" t="s">
        <v>201</v>
      </c>
      <c r="B16" s="38">
        <f>'Tocka preloma'!K24*$B$5/365</f>
        <v>2945.890410958904</v>
      </c>
      <c r="C16" s="38">
        <f>'Tocka preloma'!K25*$B$5/365</f>
        <v>3157.5342465753424</v>
      </c>
      <c r="D16" s="38">
        <f>'Tocka preloma'!K26*$B$5/365</f>
        <v>3202.054794520548</v>
      </c>
      <c r="E16" s="38">
        <f>'Tocka preloma'!K27*$B$5/365</f>
        <v>3154.109589041096</v>
      </c>
      <c r="F16" s="38">
        <f>'Tocka preloma'!K28*$B$5/365</f>
        <v>3032.1917808219177</v>
      </c>
    </row>
    <row r="17" spans="1:6" ht="13.5" customHeight="1">
      <c r="A17" s="13" t="s">
        <v>202</v>
      </c>
      <c r="B17" s="38">
        <f>B13-B16</f>
        <v>1324.4383561643835</v>
      </c>
      <c r="C17" s="38">
        <f>C13-C16</f>
        <v>2181.3698630136983</v>
      </c>
      <c r="D17" s="38">
        <f>D13-D16</f>
        <v>2309.589041095891</v>
      </c>
      <c r="E17" s="38">
        <f>E13-E16</f>
        <v>1641.3698630136987</v>
      </c>
      <c r="F17" s="38">
        <f>F13-F16</f>
        <v>1502.3013698630139</v>
      </c>
    </row>
    <row r="18" spans="1:6" ht="13.5" customHeight="1">
      <c r="A18" s="13" t="s">
        <v>203</v>
      </c>
      <c r="B18" s="38">
        <f>IF(B17&gt;0,B17*$B$4,0)</f>
        <v>112.57726027397261</v>
      </c>
      <c r="C18" s="38">
        <f>IF(C17&gt;0,C17*$B$4,0)</f>
        <v>185.41643835616438</v>
      </c>
      <c r="D18" s="38">
        <f>IF(D17&gt;0,D17*$B$4,0)</f>
        <v>196.31506849315073</v>
      </c>
      <c r="E18" s="38">
        <f>IF(E17&gt;0,E17*$B$4,0)</f>
        <v>139.5164383561644</v>
      </c>
      <c r="F18" s="38">
        <f>IF(F17&gt;0,F17*$B$4,0)</f>
        <v>127.69561643835618</v>
      </c>
    </row>
  </sheetData>
  <sheetProtection password="C53A" sheet="1" objects="1" scenarios="1"/>
  <dataValidations count="1">
    <dataValidation type="decimal" allowBlank="1" showInputMessage="1" showErrorMessage="1" error="Vneseno število dni mora biti pozitivno število" sqref="B5:B7">
      <formula1>0</formula1>
      <formula2>30000</formula2>
    </dataValidation>
  </dataValidations>
  <printOptions/>
  <pageMargins left="0.3937007874015748" right="0.3937007874015748" top="0.5905511811023623" bottom="0.5905511811023623" header="0" footer="0.1968503937007874"/>
  <pageSetup errors="dash" horizontalDpi="600" verticalDpi="600" orientation="portrait" paperSize="9" r:id="rId3"/>
  <headerFooter alignWithMargins="0">
    <oddFooter xml:space="preserve">&amp;L&amp;"Tahoma,Navadno"&amp;9© ® Skupina Replika&amp;C&amp;"Tahoma,Navadno"&amp;9&amp;A: &amp;P / &amp;N&amp;R&amp;"Tahoma,Navadno"&amp;9www.replika.si © ®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F86"/>
  <sheetViews>
    <sheetView zoomScalePageLayoutView="0" workbookViewId="0" topLeftCell="A1">
      <pane ySplit="3" topLeftCell="A4" activePane="bottomLeft" state="frozen"/>
      <selection pane="topLeft" activeCell="D16" sqref="D16"/>
      <selection pane="bottomLeft" activeCell="H14" sqref="H14"/>
    </sheetView>
  </sheetViews>
  <sheetFormatPr defaultColWidth="9.140625" defaultRowHeight="13.5" customHeight="1"/>
  <cols>
    <col min="1" max="1" width="39.421875" style="9" customWidth="1"/>
    <col min="2" max="6" width="11.421875" style="5" customWidth="1"/>
    <col min="7" max="16384" width="9.140625" style="9" customWidth="1"/>
  </cols>
  <sheetData>
    <row r="1" spans="1:6" s="146" customFormat="1" ht="15.75" customHeight="1">
      <c r="A1" s="144" t="s">
        <v>42</v>
      </c>
      <c r="B1" s="145"/>
      <c r="C1" s="145"/>
      <c r="D1" s="145"/>
      <c r="E1" s="145"/>
      <c r="F1" s="145"/>
    </row>
    <row r="3" spans="1:6" s="20" customFormat="1" ht="13.5" customHeight="1">
      <c r="A3" s="26" t="s">
        <v>204</v>
      </c>
      <c r="B3" s="2" t="s">
        <v>37</v>
      </c>
      <c r="C3" s="2" t="s">
        <v>40</v>
      </c>
      <c r="D3" s="2" t="s">
        <v>38</v>
      </c>
      <c r="E3" s="2" t="s">
        <v>39</v>
      </c>
      <c r="F3" s="2" t="s">
        <v>41</v>
      </c>
    </row>
    <row r="4" spans="1:6" s="20" customFormat="1" ht="13.5" customHeight="1">
      <c r="A4" s="10" t="s">
        <v>51</v>
      </c>
      <c r="B4" s="2">
        <f>B5+B22+B30</f>
        <v>202464</v>
      </c>
      <c r="C4" s="2">
        <f>C5+C22+C30</f>
        <v>239541</v>
      </c>
      <c r="D4" s="2">
        <f>D5+D22+D30</f>
        <v>228551.33333333334</v>
      </c>
      <c r="E4" s="2">
        <f>E5+E22+E30</f>
        <v>220078.11333333334</v>
      </c>
      <c r="F4" s="2">
        <f>F5+F22+F30</f>
        <v>216638.47333333333</v>
      </c>
    </row>
    <row r="5" spans="1:6" ht="13.5" customHeight="1">
      <c r="A5" s="21" t="s">
        <v>0</v>
      </c>
      <c r="B5" s="3">
        <f>B6+B10+B16+B17+B20+B21</f>
        <v>105500</v>
      </c>
      <c r="C5" s="3">
        <f>C6+C10+C16+C17+C20+C21</f>
        <v>142577</v>
      </c>
      <c r="D5" s="3">
        <f>D6+D10+D16+D17+D20+D21</f>
        <v>131587.33333333334</v>
      </c>
      <c r="E5" s="3">
        <f>E6+E10+E16+E17+E20+E21</f>
        <v>123114.11333333333</v>
      </c>
      <c r="F5" s="3">
        <f>F6+F10+F16+F17+F20+F21</f>
        <v>119674.47333333333</v>
      </c>
    </row>
    <row r="6" spans="1:6" ht="13.5" customHeight="1">
      <c r="A6" s="21" t="s">
        <v>1</v>
      </c>
      <c r="B6" s="3">
        <f>SUM(B7:B9)</f>
        <v>0</v>
      </c>
      <c r="C6" s="3">
        <f>SUM(C7:C9)</f>
        <v>0</v>
      </c>
      <c r="D6" s="3">
        <f>SUM(D7:D9)</f>
        <v>0</v>
      </c>
      <c r="E6" s="3">
        <f>SUM(E7:E9)</f>
        <v>0</v>
      </c>
      <c r="F6" s="3">
        <f>SUM(F7:F9)</f>
        <v>0</v>
      </c>
    </row>
    <row r="7" spans="1:6" ht="13.5" customHeight="1">
      <c r="A7" s="21" t="s">
        <v>44</v>
      </c>
      <c r="B7" s="143"/>
      <c r="C7" s="143"/>
      <c r="D7" s="143"/>
      <c r="E7" s="143"/>
      <c r="F7" s="143"/>
    </row>
    <row r="8" spans="1:6" ht="13.5" customHeight="1">
      <c r="A8" s="21" t="s">
        <v>45</v>
      </c>
      <c r="B8" s="143"/>
      <c r="C8" s="143"/>
      <c r="D8" s="143"/>
      <c r="E8" s="143"/>
      <c r="F8" s="143"/>
    </row>
    <row r="9" spans="1:6" ht="13.5" customHeight="1">
      <c r="A9" s="21" t="s">
        <v>46</v>
      </c>
      <c r="B9" s="143"/>
      <c r="C9" s="143"/>
      <c r="D9" s="143"/>
      <c r="E9" s="143"/>
      <c r="F9" s="143"/>
    </row>
    <row r="10" spans="1:6" ht="13.5" customHeight="1">
      <c r="A10" s="21" t="s">
        <v>3</v>
      </c>
      <c r="B10" s="4">
        <f>SUM(B11:B15)</f>
        <v>9500</v>
      </c>
      <c r="C10" s="4">
        <f>SUM(C11:C15)</f>
        <v>46575</v>
      </c>
      <c r="D10" s="4">
        <f>SUM(D11:D15)</f>
        <v>35583.333333333336</v>
      </c>
      <c r="E10" s="4">
        <f>SUM(E11:E15)</f>
        <v>27108.113333333327</v>
      </c>
      <c r="F10" s="4">
        <f>SUM(F11:F15)</f>
        <v>23666.473333333328</v>
      </c>
    </row>
    <row r="11" spans="1:6" ht="13.5" customHeight="1">
      <c r="A11" s="21" t="s">
        <v>43</v>
      </c>
      <c r="B11" s="143"/>
      <c r="C11" s="143"/>
      <c r="D11" s="143"/>
      <c r="E11" s="143"/>
      <c r="F11" s="143"/>
    </row>
    <row r="12" spans="1:6" ht="13.5" customHeight="1">
      <c r="A12" s="21" t="s">
        <v>47</v>
      </c>
      <c r="B12" s="3">
        <f>'Osnovna sredstva'!N30</f>
        <v>0</v>
      </c>
      <c r="C12" s="3">
        <f>'Osnovna sredstva'!O30</f>
        <v>20575</v>
      </c>
      <c r="D12" s="3">
        <f>'Osnovna sredstva'!P30</f>
        <v>18600</v>
      </c>
      <c r="E12" s="3">
        <f>'Osnovna sredstva'!Q30</f>
        <v>18824.78</v>
      </c>
      <c r="F12" s="3">
        <f>'Osnovna sredstva'!R30</f>
        <v>16583.14</v>
      </c>
    </row>
    <row r="13" spans="1:6" ht="13.5" customHeight="1">
      <c r="A13" s="21" t="s">
        <v>48</v>
      </c>
      <c r="B13" s="3">
        <f>'Osnovna sredstva'!N31</f>
        <v>9500</v>
      </c>
      <c r="C13" s="3">
        <f>'Osnovna sredstva'!O31</f>
        <v>26000</v>
      </c>
      <c r="D13" s="3">
        <f>'Osnovna sredstva'!P31</f>
        <v>15000</v>
      </c>
      <c r="E13" s="3">
        <f>'Osnovna sredstva'!Q31</f>
        <v>6499.999999999996</v>
      </c>
      <c r="F13" s="3">
        <f>'Osnovna sredstva'!R31</f>
        <v>5499.999999999996</v>
      </c>
    </row>
    <row r="14" spans="1:6" ht="13.5" customHeight="1">
      <c r="A14" s="21" t="s">
        <v>49</v>
      </c>
      <c r="B14" s="3">
        <f>'Osnovna sredstva'!N32</f>
        <v>0</v>
      </c>
      <c r="C14" s="3">
        <f>'Osnovna sredstva'!O32</f>
        <v>0</v>
      </c>
      <c r="D14" s="3">
        <f>'Osnovna sredstva'!P32</f>
        <v>1983.3333333333333</v>
      </c>
      <c r="E14" s="3">
        <f>'Osnovna sredstva'!Q32</f>
        <v>1783.3333333333333</v>
      </c>
      <c r="F14" s="3">
        <f>'Osnovna sredstva'!R32</f>
        <v>1583.3333333333333</v>
      </c>
    </row>
    <row r="15" spans="1:6" ht="13.5" customHeight="1">
      <c r="A15" s="21" t="s">
        <v>50</v>
      </c>
      <c r="B15" s="3">
        <f>'Osnovna sredstva'!N33</f>
        <v>0</v>
      </c>
      <c r="C15" s="3">
        <f>'Osnovna sredstva'!O33</f>
        <v>0</v>
      </c>
      <c r="D15" s="3">
        <f>'Osnovna sredstva'!P33</f>
        <v>0</v>
      </c>
      <c r="E15" s="3">
        <f>'Osnovna sredstva'!Q33</f>
        <v>0</v>
      </c>
      <c r="F15" s="3">
        <f>'Osnovna sredstva'!R33</f>
        <v>0</v>
      </c>
    </row>
    <row r="16" spans="1:6" ht="13.5" customHeight="1">
      <c r="A16" s="21" t="s">
        <v>4</v>
      </c>
      <c r="B16" s="143">
        <v>0</v>
      </c>
      <c r="C16" s="143">
        <v>1</v>
      </c>
      <c r="D16" s="143">
        <v>2</v>
      </c>
      <c r="E16" s="143">
        <v>3</v>
      </c>
      <c r="F16" s="143">
        <v>4</v>
      </c>
    </row>
    <row r="17" spans="1:6" ht="13.5" customHeight="1">
      <c r="A17" s="21" t="s">
        <v>5</v>
      </c>
      <c r="B17" s="3">
        <f>SUM(B18:B19)</f>
        <v>96000</v>
      </c>
      <c r="C17" s="3">
        <f>SUM(C18:C19)</f>
        <v>96001</v>
      </c>
      <c r="D17" s="3">
        <f>SUM(D18:D19)</f>
        <v>96002</v>
      </c>
      <c r="E17" s="3">
        <f>SUM(E18:E19)</f>
        <v>96003</v>
      </c>
      <c r="F17" s="3">
        <f>SUM(F18:F19)</f>
        <v>96004</v>
      </c>
    </row>
    <row r="18" spans="1:6" ht="13.5" customHeight="1">
      <c r="A18" s="21" t="s">
        <v>7</v>
      </c>
      <c r="B18" s="143"/>
      <c r="C18" s="143"/>
      <c r="D18" s="143"/>
      <c r="E18" s="143"/>
      <c r="F18" s="143"/>
    </row>
    <row r="19" spans="1:6" ht="13.5" customHeight="1">
      <c r="A19" s="21" t="s">
        <v>6</v>
      </c>
      <c r="B19" s="143">
        <v>96000</v>
      </c>
      <c r="C19" s="143">
        <v>96001</v>
      </c>
      <c r="D19" s="143">
        <v>96002</v>
      </c>
      <c r="E19" s="143">
        <v>96003</v>
      </c>
      <c r="F19" s="143">
        <v>96004</v>
      </c>
    </row>
    <row r="20" spans="1:6" ht="13.5" customHeight="1">
      <c r="A20" s="21" t="s">
        <v>8</v>
      </c>
      <c r="B20" s="143"/>
      <c r="C20" s="143"/>
      <c r="D20" s="143"/>
      <c r="E20" s="143"/>
      <c r="F20" s="143"/>
    </row>
    <row r="21" spans="1:6" ht="13.5" customHeight="1">
      <c r="A21" s="21" t="s">
        <v>9</v>
      </c>
      <c r="B21" s="143"/>
      <c r="C21" s="143"/>
      <c r="D21" s="143"/>
      <c r="E21" s="143"/>
      <c r="F21" s="143"/>
    </row>
    <row r="22" spans="1:6" ht="13.5" customHeight="1">
      <c r="A22" s="21" t="s">
        <v>10</v>
      </c>
      <c r="B22" s="3">
        <f>B23+B24+B25+B28+B29</f>
        <v>96257</v>
      </c>
      <c r="C22" s="3">
        <f>C23+C24+C25+C28+C29</f>
        <v>96257</v>
      </c>
      <c r="D22" s="3">
        <f>D23+D24+D25+D28+D29</f>
        <v>96257</v>
      </c>
      <c r="E22" s="3">
        <f>E23+E24+E25+E28+E29</f>
        <v>96257</v>
      </c>
      <c r="F22" s="3">
        <f>F23+F24+F25+F28+F29</f>
        <v>96257</v>
      </c>
    </row>
    <row r="23" spans="1:6" ht="13.5" customHeight="1">
      <c r="A23" s="21" t="s">
        <v>11</v>
      </c>
      <c r="B23" s="143"/>
      <c r="C23" s="143"/>
      <c r="D23" s="143"/>
      <c r="E23" s="143"/>
      <c r="F23" s="143"/>
    </row>
    <row r="24" spans="1:6" ht="13.5" customHeight="1">
      <c r="A24" s="21" t="s">
        <v>12</v>
      </c>
      <c r="B24" s="143"/>
      <c r="C24" s="143"/>
      <c r="D24" s="143"/>
      <c r="E24" s="143"/>
      <c r="F24" s="143"/>
    </row>
    <row r="25" spans="1:6" ht="13.5" customHeight="1">
      <c r="A25" s="21" t="s">
        <v>13</v>
      </c>
      <c r="B25" s="3">
        <f>SUM(B26:B27)</f>
        <v>64149</v>
      </c>
      <c r="C25" s="3">
        <f>SUM(C26:C27)</f>
        <v>64149</v>
      </c>
      <c r="D25" s="3">
        <f>SUM(D26:D27)</f>
        <v>64149</v>
      </c>
      <c r="E25" s="3">
        <f>SUM(E26:E27)</f>
        <v>64149</v>
      </c>
      <c r="F25" s="3">
        <f>SUM(F26:F27)</f>
        <v>64149</v>
      </c>
    </row>
    <row r="26" spans="1:6" ht="13.5" customHeight="1">
      <c r="A26" s="21" t="s">
        <v>14</v>
      </c>
      <c r="B26" s="143">
        <v>64149</v>
      </c>
      <c r="C26" s="143">
        <v>64149</v>
      </c>
      <c r="D26" s="143">
        <v>64149</v>
      </c>
      <c r="E26" s="143">
        <v>64149</v>
      </c>
      <c r="F26" s="143">
        <v>64149</v>
      </c>
    </row>
    <row r="27" spans="1:6" ht="13.5" customHeight="1">
      <c r="A27" s="21" t="s">
        <v>15</v>
      </c>
      <c r="B27" s="143"/>
      <c r="C27" s="143"/>
      <c r="D27" s="143"/>
      <c r="E27" s="143"/>
      <c r="F27" s="143"/>
    </row>
    <row r="28" spans="1:6" ht="13.5" customHeight="1">
      <c r="A28" s="21" t="s">
        <v>16</v>
      </c>
      <c r="B28" s="143">
        <v>14421</v>
      </c>
      <c r="C28" s="143">
        <v>14421</v>
      </c>
      <c r="D28" s="143">
        <v>14421</v>
      </c>
      <c r="E28" s="143">
        <v>14421</v>
      </c>
      <c r="F28" s="143">
        <v>14421</v>
      </c>
    </row>
    <row r="29" spans="1:6" ht="13.5" customHeight="1">
      <c r="A29" s="21" t="s">
        <v>17</v>
      </c>
      <c r="B29" s="143">
        <v>17687</v>
      </c>
      <c r="C29" s="143">
        <v>17687</v>
      </c>
      <c r="D29" s="143">
        <v>17687</v>
      </c>
      <c r="E29" s="143">
        <v>17687</v>
      </c>
      <c r="F29" s="143">
        <v>17687</v>
      </c>
    </row>
    <row r="30" spans="1:6" ht="13.5" customHeight="1">
      <c r="A30" s="21" t="s">
        <v>18</v>
      </c>
      <c r="B30" s="143">
        <v>707</v>
      </c>
      <c r="C30" s="143">
        <v>707</v>
      </c>
      <c r="D30" s="143">
        <v>707</v>
      </c>
      <c r="E30" s="143">
        <v>707</v>
      </c>
      <c r="F30" s="143">
        <v>707</v>
      </c>
    </row>
    <row r="31" spans="1:6" ht="13.5" customHeight="1">
      <c r="A31" s="21"/>
      <c r="B31" s="3"/>
      <c r="C31" s="3"/>
      <c r="D31" s="3"/>
      <c r="E31" s="3"/>
      <c r="F31" s="3"/>
    </row>
    <row r="32" spans="1:6" ht="13.5" customHeight="1">
      <c r="A32" s="10" t="s">
        <v>145</v>
      </c>
      <c r="B32" s="3">
        <f>B33+B42+B43+B47+B51</f>
        <v>310851</v>
      </c>
      <c r="C32" s="3">
        <f>C33+C42+C43+C47+C51</f>
        <v>307874.4</v>
      </c>
      <c r="D32" s="3">
        <f>D33+D42+D43+D47+D51</f>
        <v>319205</v>
      </c>
      <c r="E32" s="3">
        <f>E33+E42+E43+E47+E51</f>
        <v>312366</v>
      </c>
      <c r="F32" s="3">
        <f>F33+F42+F43+F47+F51</f>
        <v>310159</v>
      </c>
    </row>
    <row r="33" spans="1:6" ht="13.5" customHeight="1">
      <c r="A33" s="21" t="s">
        <v>19</v>
      </c>
      <c r="B33" s="3">
        <f>B34+B37+B38+B39+B40+B41</f>
        <v>101666</v>
      </c>
      <c r="C33" s="3">
        <f>C34+C37+C38+C39+C40+C41</f>
        <v>98688.4</v>
      </c>
      <c r="D33" s="3">
        <f>D34+D37+D38+D39+D40+D41</f>
        <v>110018</v>
      </c>
      <c r="E33" s="3">
        <f>E34+E37+E38+E39+E40+E41</f>
        <v>103178</v>
      </c>
      <c r="F33" s="3">
        <f>F34+F37+F38+F39+F40+F41</f>
        <v>100970</v>
      </c>
    </row>
    <row r="34" spans="1:6" ht="13.5" customHeight="1">
      <c r="A34" s="21" t="s">
        <v>20</v>
      </c>
      <c r="B34" s="3">
        <f>SUM(B35:B36)</f>
        <v>92222</v>
      </c>
      <c r="C34" s="3">
        <f>SUM(C35:C36)</f>
        <v>92222</v>
      </c>
      <c r="D34" s="3">
        <f>SUM(D35:D36)</f>
        <v>92222</v>
      </c>
      <c r="E34" s="3">
        <f>SUM(E35:E36)</f>
        <v>92222</v>
      </c>
      <c r="F34" s="3">
        <f>SUM(F35:F36)</f>
        <v>92222</v>
      </c>
    </row>
    <row r="35" spans="1:6" ht="13.5" customHeight="1">
      <c r="A35" s="21" t="s">
        <v>21</v>
      </c>
      <c r="B35" s="143">
        <v>92222</v>
      </c>
      <c r="C35" s="143">
        <v>92222</v>
      </c>
      <c r="D35" s="143">
        <v>92222</v>
      </c>
      <c r="E35" s="143">
        <v>92222</v>
      </c>
      <c r="F35" s="143">
        <v>92222</v>
      </c>
    </row>
    <row r="36" spans="1:6" ht="13.5" customHeight="1">
      <c r="A36" s="21" t="s">
        <v>22</v>
      </c>
      <c r="B36" s="143"/>
      <c r="C36" s="143"/>
      <c r="D36" s="143"/>
      <c r="E36" s="143"/>
      <c r="F36" s="143"/>
    </row>
    <row r="37" spans="1:6" ht="13.5" customHeight="1">
      <c r="A37" s="21" t="s">
        <v>23</v>
      </c>
      <c r="B37" s="143"/>
      <c r="C37" s="143"/>
      <c r="D37" s="143"/>
      <c r="E37" s="143"/>
      <c r="F37" s="143"/>
    </row>
    <row r="38" spans="1:6" ht="13.5" customHeight="1">
      <c r="A38" s="21" t="s">
        <v>24</v>
      </c>
      <c r="B38" s="143"/>
      <c r="C38" s="143"/>
      <c r="D38" s="143"/>
      <c r="E38" s="143"/>
      <c r="F38" s="143"/>
    </row>
    <row r="39" spans="1:6" ht="13.5" customHeight="1">
      <c r="A39" s="21" t="s">
        <v>25</v>
      </c>
      <c r="B39" s="143">
        <v>12</v>
      </c>
      <c r="C39" s="143">
        <v>12</v>
      </c>
      <c r="D39" s="143">
        <v>12</v>
      </c>
      <c r="E39" s="143">
        <v>12</v>
      </c>
      <c r="F39" s="143">
        <v>12</v>
      </c>
    </row>
    <row r="40" spans="1:6" ht="13.5" customHeight="1">
      <c r="A40" s="22" t="s">
        <v>52</v>
      </c>
      <c r="B40" s="143">
        <v>56</v>
      </c>
      <c r="C40" s="143">
        <v>56</v>
      </c>
      <c r="D40" s="143">
        <v>56</v>
      </c>
      <c r="E40" s="143">
        <v>56</v>
      </c>
      <c r="F40" s="143">
        <v>56</v>
      </c>
    </row>
    <row r="41" spans="1:6" ht="13.5" customHeight="1">
      <c r="A41" s="22" t="s">
        <v>26</v>
      </c>
      <c r="B41" s="3">
        <f>'Izkaz Uspeha'!B46</f>
        <v>9376</v>
      </c>
      <c r="C41" s="3">
        <f>'Izkaz Uspeha'!C46</f>
        <v>6398.4</v>
      </c>
      <c r="D41" s="3">
        <f>'Izkaz Uspeha'!D46</f>
        <v>17728</v>
      </c>
      <c r="E41" s="3">
        <f>'Izkaz Uspeha'!E46</f>
        <v>10888</v>
      </c>
      <c r="F41" s="3">
        <f>'Izkaz Uspeha'!F46</f>
        <v>8680</v>
      </c>
    </row>
    <row r="42" spans="1:6" ht="13.5" customHeight="1">
      <c r="A42" s="21" t="s">
        <v>27</v>
      </c>
      <c r="B42" s="143"/>
      <c r="C42" s="143"/>
      <c r="D42" s="143"/>
      <c r="E42" s="143"/>
      <c r="F42" s="143"/>
    </row>
    <row r="43" spans="1:6" ht="13.5" customHeight="1">
      <c r="A43" s="21" t="s">
        <v>28</v>
      </c>
      <c r="B43" s="3">
        <f>SUM(B44:B46)</f>
        <v>192801</v>
      </c>
      <c r="C43" s="3">
        <f>SUM(C44:C46)</f>
        <v>192802</v>
      </c>
      <c r="D43" s="3">
        <f>SUM(D44:D46)</f>
        <v>192803</v>
      </c>
      <c r="E43" s="3">
        <f>SUM(E44:E46)</f>
        <v>192804</v>
      </c>
      <c r="F43" s="3">
        <f>SUM(F44:F46)</f>
        <v>192805</v>
      </c>
    </row>
    <row r="44" spans="1:6" ht="13.5" customHeight="1">
      <c r="A44" s="21" t="s">
        <v>29</v>
      </c>
      <c r="B44" s="143">
        <v>192801</v>
      </c>
      <c r="C44" s="143">
        <v>192802</v>
      </c>
      <c r="D44" s="143">
        <v>192803</v>
      </c>
      <c r="E44" s="143">
        <v>192804</v>
      </c>
      <c r="F44" s="143">
        <v>192805</v>
      </c>
    </row>
    <row r="45" spans="1:6" ht="13.5" customHeight="1">
      <c r="A45" s="21" t="s">
        <v>30</v>
      </c>
      <c r="B45" s="143"/>
      <c r="C45" s="143"/>
      <c r="D45" s="143"/>
      <c r="E45" s="143"/>
      <c r="F45" s="143"/>
    </row>
    <row r="46" spans="1:6" ht="13.5" customHeight="1">
      <c r="A46" s="21" t="s">
        <v>31</v>
      </c>
      <c r="B46" s="143"/>
      <c r="C46" s="143"/>
      <c r="D46" s="143"/>
      <c r="E46" s="143"/>
      <c r="F46" s="143"/>
    </row>
    <row r="47" spans="1:6" ht="13.5" customHeight="1">
      <c r="A47" s="21" t="s">
        <v>32</v>
      </c>
      <c r="B47" s="3">
        <f>SUM(B48:B50)</f>
        <v>16299</v>
      </c>
      <c r="C47" s="3">
        <f>SUM(C48:C50)</f>
        <v>16299</v>
      </c>
      <c r="D47" s="3">
        <f>SUM(D48:D50)</f>
        <v>16299</v>
      </c>
      <c r="E47" s="3">
        <f>SUM(E48:E50)</f>
        <v>16299</v>
      </c>
      <c r="F47" s="3">
        <f>SUM(F48:F50)</f>
        <v>16299</v>
      </c>
    </row>
    <row r="48" spans="1:6" ht="13.5" customHeight="1">
      <c r="A48" s="21" t="s">
        <v>33</v>
      </c>
      <c r="B48" s="143"/>
      <c r="C48" s="143"/>
      <c r="D48" s="143"/>
      <c r="E48" s="143"/>
      <c r="F48" s="143"/>
    </row>
    <row r="49" spans="1:6" ht="13.5" customHeight="1">
      <c r="A49" s="21" t="s">
        <v>34</v>
      </c>
      <c r="B49" s="143"/>
      <c r="C49" s="143"/>
      <c r="D49" s="143"/>
      <c r="E49" s="143"/>
      <c r="F49" s="143"/>
    </row>
    <row r="50" spans="1:6" ht="13.5" customHeight="1">
      <c r="A50" s="21" t="s">
        <v>35</v>
      </c>
      <c r="B50" s="143">
        <v>16299</v>
      </c>
      <c r="C50" s="143">
        <v>16299</v>
      </c>
      <c r="D50" s="143">
        <v>16299</v>
      </c>
      <c r="E50" s="143">
        <v>16299</v>
      </c>
      <c r="F50" s="143">
        <v>16299</v>
      </c>
    </row>
    <row r="51" spans="1:6" ht="13.5" customHeight="1">
      <c r="A51" s="21" t="s">
        <v>36</v>
      </c>
      <c r="B51" s="143">
        <v>85</v>
      </c>
      <c r="C51" s="143">
        <v>85</v>
      </c>
      <c r="D51" s="143">
        <v>85</v>
      </c>
      <c r="E51" s="143">
        <v>85</v>
      </c>
      <c r="F51" s="143">
        <v>85</v>
      </c>
    </row>
    <row r="52" spans="2:6" ht="13.5" customHeight="1">
      <c r="B52" s="27">
        <f>IF(B4-B32=0," ",B4-B32)</f>
        <v>-108387</v>
      </c>
      <c r="C52" s="27">
        <f>IF(C4-C32=0," ",C4-C32)</f>
        <v>-68333.40000000002</v>
      </c>
      <c r="D52" s="27">
        <f>IF(D4-D32=0," ",D4-D32)</f>
        <v>-90653.66666666666</v>
      </c>
      <c r="E52" s="27">
        <f>IF(E4-E32=0," ",E4-E32)</f>
        <v>-92287.88666666666</v>
      </c>
      <c r="F52" s="27">
        <f>IF(F4-F32=0," ",F4-F32)</f>
        <v>-93520.52666666667</v>
      </c>
    </row>
    <row r="53" spans="2:6" s="23" customFormat="1" ht="34.5" customHeight="1">
      <c r="B53" s="6" t="str">
        <f>IF(B4-B32=0," ","Sredstva in obveznosti NISO enake!")</f>
        <v>Sredstva in obveznosti NISO enake!</v>
      </c>
      <c r="C53" s="6" t="str">
        <f>IF(C4-C32=0," ","Sredstva in obveznosti NISO enake!")</f>
        <v>Sredstva in obveznosti NISO enake!</v>
      </c>
      <c r="D53" s="6" t="str">
        <f>IF(D4-D32=0," ","Sredstva in obveznosti NISO enake!")</f>
        <v>Sredstva in obveznosti NISO enake!</v>
      </c>
      <c r="E53" s="6" t="str">
        <f>IF(E4-E32=0," ","Sredstva in obveznosti NISO enake!")</f>
        <v>Sredstva in obveznosti NISO enake!</v>
      </c>
      <c r="F53" s="6" t="str">
        <f>IF(F4-F32=0," ","Sredstva in obveznosti NISO enake!")</f>
        <v>Sredstva in obveznosti NISO enake!</v>
      </c>
    </row>
    <row r="54" spans="1:6" s="157" customFormat="1" ht="15.75" customHeight="1">
      <c r="A54" s="144" t="s">
        <v>142</v>
      </c>
      <c r="B54" s="145"/>
      <c r="C54" s="145"/>
      <c r="D54" s="145"/>
      <c r="E54" s="145"/>
      <c r="F54" s="145"/>
    </row>
    <row r="55" spans="2:6" ht="13.5" customHeight="1">
      <c r="B55" s="7"/>
      <c r="C55" s="7"/>
      <c r="D55" s="7"/>
      <c r="E55" s="7"/>
      <c r="F55" s="7"/>
    </row>
    <row r="56" spans="2:6" ht="13.5" customHeight="1">
      <c r="B56" s="7"/>
      <c r="C56" s="7"/>
      <c r="D56" s="7"/>
      <c r="E56" s="7"/>
      <c r="F56" s="7"/>
    </row>
    <row r="58" spans="1:6" s="25" customFormat="1" ht="13.5" customHeight="1">
      <c r="A58" s="24" t="s">
        <v>143</v>
      </c>
      <c r="B58" s="8" t="str">
        <f>B3</f>
        <v>Leto 1</v>
      </c>
      <c r="C58" s="8" t="str">
        <f>C3</f>
        <v>Leto 2</v>
      </c>
      <c r="D58" s="8" t="str">
        <f>D3</f>
        <v>Leto 3</v>
      </c>
      <c r="E58" s="8" t="str">
        <f>E3</f>
        <v>Leto 4</v>
      </c>
      <c r="F58" s="8" t="str">
        <f>F3</f>
        <v>Leto 5</v>
      </c>
    </row>
    <row r="59" spans="1:6" s="25" customFormat="1" ht="13.5" customHeight="1">
      <c r="A59" s="26" t="s">
        <v>132</v>
      </c>
      <c r="B59" s="8">
        <f>B5</f>
        <v>105500</v>
      </c>
      <c r="C59" s="8">
        <f>C5</f>
        <v>142577</v>
      </c>
      <c r="D59" s="8">
        <f>D5</f>
        <v>131587.33333333334</v>
      </c>
      <c r="E59" s="8">
        <f>E5</f>
        <v>123114.11333333333</v>
      </c>
      <c r="F59" s="8">
        <f>F5</f>
        <v>119674.47333333333</v>
      </c>
    </row>
    <row r="60" spans="1:6" s="25" customFormat="1" ht="13.5" customHeight="1">
      <c r="A60" s="26" t="s">
        <v>133</v>
      </c>
      <c r="B60" s="8">
        <f>B22+B30</f>
        <v>96964</v>
      </c>
      <c r="C60" s="8">
        <f>C22+C30</f>
        <v>96964</v>
      </c>
      <c r="D60" s="8">
        <f>D22+D30</f>
        <v>96964</v>
      </c>
      <c r="E60" s="8">
        <f>E22+E30</f>
        <v>96964</v>
      </c>
      <c r="F60" s="8">
        <f>F22+F30</f>
        <v>96964</v>
      </c>
    </row>
    <row r="83" spans="1:6" s="25" customFormat="1" ht="13.5" customHeight="1">
      <c r="A83" s="24" t="s">
        <v>144</v>
      </c>
      <c r="B83" s="8" t="str">
        <f>B3</f>
        <v>Leto 1</v>
      </c>
      <c r="C83" s="8" t="str">
        <f>C3</f>
        <v>Leto 2</v>
      </c>
      <c r="D83" s="8" t="str">
        <f>D3</f>
        <v>Leto 3</v>
      </c>
      <c r="E83" s="8" t="str">
        <f>E3</f>
        <v>Leto 4</v>
      </c>
      <c r="F83" s="8" t="str">
        <f>F3</f>
        <v>Leto 5</v>
      </c>
    </row>
    <row r="84" spans="1:6" s="25" customFormat="1" ht="13.5" customHeight="1">
      <c r="A84" s="26" t="s">
        <v>134</v>
      </c>
      <c r="B84" s="8">
        <f>B33</f>
        <v>101666</v>
      </c>
      <c r="C84" s="8">
        <f>C33</f>
        <v>98688.4</v>
      </c>
      <c r="D84" s="8">
        <f>D33</f>
        <v>110018</v>
      </c>
      <c r="E84" s="8">
        <f>E33</f>
        <v>103178</v>
      </c>
      <c r="F84" s="8">
        <f>F33</f>
        <v>100970</v>
      </c>
    </row>
    <row r="85" spans="1:6" s="25" customFormat="1" ht="13.5" customHeight="1">
      <c r="A85" s="26" t="s">
        <v>135</v>
      </c>
      <c r="B85" s="8">
        <f>B43+B42</f>
        <v>192801</v>
      </c>
      <c r="C85" s="8">
        <f>C43+C42</f>
        <v>192802</v>
      </c>
      <c r="D85" s="8">
        <f>D43+D42</f>
        <v>192803</v>
      </c>
      <c r="E85" s="8">
        <f>E43+E42</f>
        <v>192804</v>
      </c>
      <c r="F85" s="8">
        <f>F43+F42</f>
        <v>192805</v>
      </c>
    </row>
    <row r="86" spans="1:6" s="25" customFormat="1" ht="13.5" customHeight="1">
      <c r="A86" s="26" t="s">
        <v>136</v>
      </c>
      <c r="B86" s="8">
        <f>B51+B47</f>
        <v>16384</v>
      </c>
      <c r="C86" s="8">
        <f>C51+C47</f>
        <v>16384</v>
      </c>
      <c r="D86" s="8">
        <f>D51+D47</f>
        <v>16384</v>
      </c>
      <c r="E86" s="8">
        <f>E51+E47</f>
        <v>16384</v>
      </c>
      <c r="F86" s="8">
        <f>F51+F47</f>
        <v>16384</v>
      </c>
    </row>
  </sheetData>
  <sheetProtection password="C53A" sheet="1" objects="1" scenarios="1"/>
  <printOptions/>
  <pageMargins left="0.3937007874015748" right="0.3937007874015748" top="0.5905511811023623" bottom="0.5905511811023623" header="0" footer="0.1968503937007874"/>
  <pageSetup errors="dash" horizontalDpi="600" verticalDpi="600" orientation="portrait" paperSize="9" r:id="rId4"/>
  <headerFooter alignWithMargins="0">
    <oddFooter xml:space="preserve">&amp;L&amp;"Tahoma,Navadno"&amp;9© ® Skupina Replika&amp;C&amp;"Tahoma,Navadno"&amp;9&amp;A: &amp;P / &amp;N&amp;R&amp;"Tahoma,Navadno"&amp;9www.replika.si © ® </oddFooter>
  </headerFooter>
  <rowBreaks count="1" manualBreakCount="1">
    <brk id="53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G80"/>
  <sheetViews>
    <sheetView zoomScalePageLayoutView="0" workbookViewId="0" topLeftCell="A1">
      <pane ySplit="3" topLeftCell="A4" activePane="bottomLeft" state="frozen"/>
      <selection pane="topLeft" activeCell="D16" sqref="D16"/>
      <selection pane="bottomLeft" activeCell="H11" sqref="H11"/>
    </sheetView>
  </sheetViews>
  <sheetFormatPr defaultColWidth="9.140625" defaultRowHeight="13.5" customHeight="1"/>
  <cols>
    <col min="1" max="1" width="41.28125" style="16" customWidth="1"/>
    <col min="2" max="6" width="11.140625" style="17" customWidth="1"/>
    <col min="7" max="16384" width="9.140625" style="16" customWidth="1"/>
  </cols>
  <sheetData>
    <row r="1" spans="1:6" s="9" customFormat="1" ht="15.75" customHeight="1">
      <c r="A1" s="144" t="s">
        <v>149</v>
      </c>
      <c r="B1" s="145"/>
      <c r="C1" s="145"/>
      <c r="D1" s="145"/>
      <c r="E1" s="145"/>
      <c r="F1" s="145"/>
    </row>
    <row r="2" spans="2:6" s="9" customFormat="1" ht="13.5" customHeight="1">
      <c r="B2" s="5"/>
      <c r="C2" s="5"/>
      <c r="D2" s="5"/>
      <c r="E2" s="5"/>
      <c r="F2" s="5"/>
    </row>
    <row r="3" spans="1:6" s="20" customFormat="1" ht="13.5" customHeight="1">
      <c r="A3" s="26" t="s">
        <v>204</v>
      </c>
      <c r="B3" s="2" t="s">
        <v>37</v>
      </c>
      <c r="C3" s="2" t="s">
        <v>40</v>
      </c>
      <c r="D3" s="2" t="s">
        <v>38</v>
      </c>
      <c r="E3" s="2" t="s">
        <v>39</v>
      </c>
      <c r="F3" s="2" t="s">
        <v>41</v>
      </c>
    </row>
    <row r="4" spans="1:6" s="28" customFormat="1" ht="13.5" customHeight="1">
      <c r="A4" s="11" t="s">
        <v>53</v>
      </c>
      <c r="B4" s="12">
        <f>SUM(B5:B7)</f>
        <v>48920</v>
      </c>
      <c r="C4" s="12">
        <f>SUM(C5:C7)</f>
        <v>61200</v>
      </c>
      <c r="D4" s="12">
        <f>SUM(D5:D7)</f>
        <v>63150</v>
      </c>
      <c r="E4" s="12">
        <f>SUM(E5:E7)</f>
        <v>54600</v>
      </c>
      <c r="F4" s="12">
        <f>SUM(F5:F7)</f>
        <v>51840</v>
      </c>
    </row>
    <row r="5" spans="1:6" ht="13.5" customHeight="1">
      <c r="A5" s="13" t="s">
        <v>54</v>
      </c>
      <c r="B5" s="3">
        <f>'Tocka preloma'!O24</f>
        <v>28063.6</v>
      </c>
      <c r="C5" s="3">
        <f>'Tocka preloma'!O25</f>
        <v>30600</v>
      </c>
      <c r="D5" s="3">
        <f>'Tocka preloma'!O26</f>
        <v>28417.5</v>
      </c>
      <c r="E5" s="3">
        <f>'Tocka preloma'!O27</f>
        <v>21840</v>
      </c>
      <c r="F5" s="3">
        <f>'Tocka preloma'!O28</f>
        <v>18144</v>
      </c>
    </row>
    <row r="6" spans="1:6" ht="13.5" customHeight="1">
      <c r="A6" s="13" t="s">
        <v>55</v>
      </c>
      <c r="B6" s="3">
        <f>'Tocka preloma'!P24</f>
        <v>10827.7</v>
      </c>
      <c r="C6" s="3">
        <f>'Tocka preloma'!P25</f>
        <v>18360</v>
      </c>
      <c r="D6" s="3">
        <f>'Tocka preloma'!P26</f>
        <v>22102.5</v>
      </c>
      <c r="E6" s="3">
        <f>'Tocka preloma'!P27</f>
        <v>20202</v>
      </c>
      <c r="F6" s="3">
        <f>'Tocka preloma'!P28</f>
        <v>20736</v>
      </c>
    </row>
    <row r="7" spans="1:6" ht="13.5" customHeight="1">
      <c r="A7" s="13" t="s">
        <v>56</v>
      </c>
      <c r="B7" s="3">
        <f>'Tocka preloma'!Q24</f>
        <v>10028.7</v>
      </c>
      <c r="C7" s="3">
        <f>'Tocka preloma'!Q25</f>
        <v>12239.999999999998</v>
      </c>
      <c r="D7" s="3">
        <f>'Tocka preloma'!Q26</f>
        <v>12630</v>
      </c>
      <c r="E7" s="3">
        <f>'Tocka preloma'!Q27</f>
        <v>12557.999999999998</v>
      </c>
      <c r="F7" s="3">
        <f>'Tocka preloma'!Q28</f>
        <v>12960</v>
      </c>
    </row>
    <row r="8" spans="1:6" s="28" customFormat="1" ht="13.5" customHeight="1">
      <c r="A8" s="11" t="s">
        <v>57</v>
      </c>
      <c r="B8" s="159">
        <v>2000</v>
      </c>
      <c r="C8" s="159"/>
      <c r="D8" s="159"/>
      <c r="E8" s="159"/>
      <c r="F8" s="159"/>
    </row>
    <row r="9" spans="1:6" s="28" customFormat="1" ht="13.5" customHeight="1">
      <c r="A9" s="11" t="s">
        <v>58</v>
      </c>
      <c r="B9" s="12">
        <f>B4+B8</f>
        <v>50920</v>
      </c>
      <c r="C9" s="12">
        <f>C4+C8</f>
        <v>61200</v>
      </c>
      <c r="D9" s="12">
        <f>D4+D8</f>
        <v>63150</v>
      </c>
      <c r="E9" s="12">
        <f>E4+E8</f>
        <v>54600</v>
      </c>
      <c r="F9" s="12">
        <f>F4+F8</f>
        <v>51840</v>
      </c>
    </row>
    <row r="10" spans="1:6" ht="13.5" customHeight="1">
      <c r="A10" s="13"/>
      <c r="B10" s="14"/>
      <c r="C10" s="14"/>
      <c r="D10" s="14"/>
      <c r="E10" s="14"/>
      <c r="F10" s="14"/>
    </row>
    <row r="11" spans="1:6" s="28" customFormat="1" ht="13.5" customHeight="1">
      <c r="A11" s="11" t="s">
        <v>59</v>
      </c>
      <c r="B11" s="12">
        <f>B12+B23+B28+B36</f>
        <v>39000</v>
      </c>
      <c r="C11" s="12">
        <f>C12+C23+C28+C36</f>
        <v>53212</v>
      </c>
      <c r="D11" s="12">
        <f>D12+D23+D28+D36</f>
        <v>41000</v>
      </c>
      <c r="E11" s="12">
        <f>E12+E23+E28+E36</f>
        <v>41000</v>
      </c>
      <c r="F11" s="12">
        <f>F12+F23+F28+F36</f>
        <v>41000</v>
      </c>
    </row>
    <row r="12" spans="1:6" ht="13.5" customHeight="1">
      <c r="A12" s="13" t="s">
        <v>60</v>
      </c>
      <c r="B12" s="14">
        <f>B13+B14+B15</f>
        <v>3000</v>
      </c>
      <c r="C12" s="14">
        <f>C13+C14+C15</f>
        <v>12212</v>
      </c>
      <c r="D12" s="14">
        <f>D13+D14+D15</f>
        <v>0</v>
      </c>
      <c r="E12" s="14">
        <f>E13+E14+E15</f>
        <v>0</v>
      </c>
      <c r="F12" s="14">
        <f>F13+F14+F15</f>
        <v>0</v>
      </c>
    </row>
    <row r="13" spans="1:6" ht="13.5" customHeight="1">
      <c r="A13" s="13" t="s">
        <v>61</v>
      </c>
      <c r="B13" s="143"/>
      <c r="C13" s="143"/>
      <c r="D13" s="143"/>
      <c r="E13" s="143"/>
      <c r="F13" s="143"/>
    </row>
    <row r="14" spans="1:6" ht="13.5" customHeight="1">
      <c r="A14" s="13" t="s">
        <v>62</v>
      </c>
      <c r="B14" s="143"/>
      <c r="C14" s="143"/>
      <c r="D14" s="143"/>
      <c r="E14" s="143"/>
      <c r="F14" s="143"/>
    </row>
    <row r="15" spans="1:6" ht="13.5" customHeight="1">
      <c r="A15" s="13" t="s">
        <v>63</v>
      </c>
      <c r="B15" s="14">
        <f>SUM(B16:B22)</f>
        <v>3000</v>
      </c>
      <c r="C15" s="14">
        <f>SUM(C16:C22)</f>
        <v>12212</v>
      </c>
      <c r="D15" s="14">
        <f>SUM(D16:D22)</f>
        <v>0</v>
      </c>
      <c r="E15" s="14">
        <f>SUM(E16:E22)</f>
        <v>0</v>
      </c>
      <c r="F15" s="14">
        <f>SUM(F16:F22)</f>
        <v>0</v>
      </c>
    </row>
    <row r="16" spans="1:6" ht="13.5" customHeight="1">
      <c r="A16" s="13" t="s">
        <v>65</v>
      </c>
      <c r="B16" s="143">
        <v>1000</v>
      </c>
      <c r="C16" s="143"/>
      <c r="D16" s="143"/>
      <c r="E16" s="143"/>
      <c r="F16" s="143"/>
    </row>
    <row r="17" spans="1:6" ht="13.5" customHeight="1">
      <c r="A17" s="13" t="s">
        <v>66</v>
      </c>
      <c r="B17" s="143"/>
      <c r="C17" s="143"/>
      <c r="D17" s="143"/>
      <c r="E17" s="143"/>
      <c r="F17" s="143"/>
    </row>
    <row r="18" spans="1:6" ht="13.5" customHeight="1">
      <c r="A18" s="13" t="s">
        <v>86</v>
      </c>
      <c r="B18" s="143">
        <v>2000</v>
      </c>
      <c r="C18" s="143">
        <v>12212</v>
      </c>
      <c r="D18" s="143"/>
      <c r="E18" s="143"/>
      <c r="F18" s="143"/>
    </row>
    <row r="19" spans="1:6" ht="13.5" customHeight="1">
      <c r="A19" s="13" t="s">
        <v>64</v>
      </c>
      <c r="B19" s="143"/>
      <c r="C19" s="143"/>
      <c r="D19" s="143"/>
      <c r="E19" s="143"/>
      <c r="F19" s="143"/>
    </row>
    <row r="20" spans="1:6" ht="13.5" customHeight="1">
      <c r="A20" s="13" t="s">
        <v>67</v>
      </c>
      <c r="B20" s="143"/>
      <c r="C20" s="143"/>
      <c r="D20" s="143"/>
      <c r="E20" s="143"/>
      <c r="F20" s="143"/>
    </row>
    <row r="21" spans="1:6" ht="13.5" customHeight="1">
      <c r="A21" s="13" t="s">
        <v>84</v>
      </c>
      <c r="B21" s="143"/>
      <c r="C21" s="143"/>
      <c r="D21" s="143"/>
      <c r="E21" s="143"/>
      <c r="F21" s="143"/>
    </row>
    <row r="22" spans="1:6" ht="13.5" customHeight="1">
      <c r="A22" s="13" t="s">
        <v>85</v>
      </c>
      <c r="B22" s="143"/>
      <c r="C22" s="143"/>
      <c r="D22" s="143"/>
      <c r="E22" s="143"/>
      <c r="F22" s="143"/>
    </row>
    <row r="23" spans="1:6" ht="13.5" customHeight="1">
      <c r="A23" s="13" t="s">
        <v>68</v>
      </c>
      <c r="B23" s="14">
        <f>SUM(B24:B27)</f>
        <v>35000</v>
      </c>
      <c r="C23" s="14">
        <f>SUM(C24:C27)</f>
        <v>40000</v>
      </c>
      <c r="D23" s="14">
        <f>SUM(D24:D27)</f>
        <v>40000</v>
      </c>
      <c r="E23" s="14">
        <f>SUM(E24:E27)</f>
        <v>40000</v>
      </c>
      <c r="F23" s="14">
        <f>SUM(F24:F27)</f>
        <v>40000</v>
      </c>
    </row>
    <row r="24" spans="1:6" ht="13.5" customHeight="1">
      <c r="A24" s="13" t="s">
        <v>69</v>
      </c>
      <c r="B24" s="143">
        <v>35000</v>
      </c>
      <c r="C24" s="143">
        <v>40000</v>
      </c>
      <c r="D24" s="143">
        <v>40000</v>
      </c>
      <c r="E24" s="143">
        <v>40000</v>
      </c>
      <c r="F24" s="143">
        <v>40000</v>
      </c>
    </row>
    <row r="25" spans="1:6" ht="13.5" customHeight="1">
      <c r="A25" s="13" t="s">
        <v>70</v>
      </c>
      <c r="B25" s="143"/>
      <c r="C25" s="143"/>
      <c r="D25" s="143"/>
      <c r="E25" s="143"/>
      <c r="F25" s="143"/>
    </row>
    <row r="26" spans="1:6" ht="13.5" customHeight="1">
      <c r="A26" s="13" t="s">
        <v>71</v>
      </c>
      <c r="B26" s="143"/>
      <c r="C26" s="143"/>
      <c r="D26" s="143"/>
      <c r="E26" s="143"/>
      <c r="F26" s="143"/>
    </row>
    <row r="27" spans="1:6" ht="13.5" customHeight="1">
      <c r="A27" s="13" t="s">
        <v>72</v>
      </c>
      <c r="B27" s="143"/>
      <c r="C27" s="143"/>
      <c r="D27" s="143"/>
      <c r="E27" s="143"/>
      <c r="F27" s="143"/>
    </row>
    <row r="28" spans="1:6" ht="13.5" customHeight="1">
      <c r="A28" s="13" t="s">
        <v>73</v>
      </c>
      <c r="B28" s="14">
        <f>B29+B30</f>
        <v>1000</v>
      </c>
      <c r="C28" s="14">
        <f>C29+C30</f>
        <v>1000</v>
      </c>
      <c r="D28" s="14">
        <f>D29+D30</f>
        <v>1000</v>
      </c>
      <c r="E28" s="14">
        <f>E29+E30</f>
        <v>1000</v>
      </c>
      <c r="F28" s="14">
        <f>F29+F30</f>
        <v>1000</v>
      </c>
    </row>
    <row r="29" spans="1:6" ht="13.5" customHeight="1">
      <c r="A29" s="13" t="s">
        <v>2</v>
      </c>
      <c r="B29" s="143"/>
      <c r="C29" s="143"/>
      <c r="D29" s="143"/>
      <c r="E29" s="143"/>
      <c r="F29" s="143"/>
    </row>
    <row r="30" spans="1:6" ht="13.5" customHeight="1">
      <c r="A30" s="13" t="s">
        <v>74</v>
      </c>
      <c r="B30" s="14">
        <v>1000</v>
      </c>
      <c r="C30" s="14">
        <v>1000</v>
      </c>
      <c r="D30" s="14">
        <v>1000</v>
      </c>
      <c r="E30" s="14">
        <v>1000</v>
      </c>
      <c r="F30" s="14">
        <v>1000</v>
      </c>
    </row>
    <row r="31" spans="1:6" ht="13.5" customHeight="1">
      <c r="A31" s="13" t="s">
        <v>75</v>
      </c>
      <c r="B31" s="3">
        <f>'Osnovna sredstva'!I30</f>
        <v>0</v>
      </c>
      <c r="C31" s="3">
        <f>'Osnovna sredstva'!J30</f>
        <v>1925</v>
      </c>
      <c r="D31" s="3">
        <f>'Osnovna sredstva'!K30</f>
        <v>1975</v>
      </c>
      <c r="E31" s="3">
        <f>'Osnovna sredstva'!L30</f>
        <v>1997.22</v>
      </c>
      <c r="F31" s="3">
        <f>'Osnovna sredstva'!M30</f>
        <v>2241.64</v>
      </c>
    </row>
    <row r="32" spans="1:6" ht="13.5" customHeight="1">
      <c r="A32" s="13" t="s">
        <v>76</v>
      </c>
      <c r="B32" s="3">
        <f>'Osnovna sredstva'!I31</f>
        <v>500</v>
      </c>
      <c r="C32" s="3">
        <f>'Osnovna sredstva'!J31</f>
        <v>8500</v>
      </c>
      <c r="D32" s="3">
        <f>'Osnovna sredstva'!K31</f>
        <v>11000</v>
      </c>
      <c r="E32" s="3">
        <f>'Osnovna sredstva'!L31</f>
        <v>8500.000000000004</v>
      </c>
      <c r="F32" s="3">
        <f>'Osnovna sredstva'!M31</f>
        <v>1000</v>
      </c>
    </row>
    <row r="33" spans="1:6" ht="13.5" customHeight="1">
      <c r="A33" s="13" t="s">
        <v>151</v>
      </c>
      <c r="B33" s="3">
        <f>'Osnovna sredstva'!I32</f>
        <v>0</v>
      </c>
      <c r="C33" s="3">
        <f>'Osnovna sredstva'!J32</f>
        <v>0</v>
      </c>
      <c r="D33" s="3">
        <f>'Osnovna sredstva'!K32</f>
        <v>16.666666666666675</v>
      </c>
      <c r="E33" s="3">
        <f>'Osnovna sredstva'!L32</f>
        <v>200</v>
      </c>
      <c r="F33" s="3">
        <f>'Osnovna sredstva'!M32</f>
        <v>200</v>
      </c>
    </row>
    <row r="34" spans="1:6" ht="13.5" customHeight="1">
      <c r="A34" s="13" t="s">
        <v>120</v>
      </c>
      <c r="B34" s="3">
        <f>'Osnovna sredstva'!I33</f>
        <v>0</v>
      </c>
      <c r="C34" s="3">
        <f>'Osnovna sredstva'!J33</f>
        <v>0</v>
      </c>
      <c r="D34" s="3">
        <f>'Osnovna sredstva'!K33</f>
        <v>0</v>
      </c>
      <c r="E34" s="3">
        <f>'Osnovna sredstva'!L33</f>
        <v>0</v>
      </c>
      <c r="F34" s="3">
        <f>'Osnovna sredstva'!M33</f>
        <v>0</v>
      </c>
    </row>
    <row r="35" spans="1:6" ht="13.5" customHeight="1">
      <c r="A35" s="13" t="s">
        <v>121</v>
      </c>
      <c r="B35" s="143"/>
      <c r="C35" s="143"/>
      <c r="D35" s="143"/>
      <c r="E35" s="143"/>
      <c r="F35" s="143"/>
    </row>
    <row r="36" spans="1:6" ht="13.5" customHeight="1">
      <c r="A36" s="13" t="s">
        <v>77</v>
      </c>
      <c r="B36" s="143"/>
      <c r="C36" s="143"/>
      <c r="D36" s="143"/>
      <c r="E36" s="143"/>
      <c r="F36" s="143"/>
    </row>
    <row r="37" spans="1:6" ht="13.5" customHeight="1">
      <c r="A37" s="13"/>
      <c r="B37" s="14"/>
      <c r="C37" s="14"/>
      <c r="D37" s="14"/>
      <c r="E37" s="14"/>
      <c r="F37" s="14"/>
    </row>
    <row r="38" spans="1:6" s="28" customFormat="1" ht="13.5" customHeight="1">
      <c r="A38" s="11" t="s">
        <v>146</v>
      </c>
      <c r="B38" s="12">
        <f>B9-B11</f>
        <v>11920</v>
      </c>
      <c r="C38" s="12">
        <f>C9-C11</f>
        <v>7988</v>
      </c>
      <c r="D38" s="12">
        <f>D9-D11</f>
        <v>22150</v>
      </c>
      <c r="E38" s="12">
        <f>E9-E11</f>
        <v>13600</v>
      </c>
      <c r="F38" s="12">
        <f>F9-F11</f>
        <v>10840</v>
      </c>
    </row>
    <row r="39" spans="1:6" ht="13.5" customHeight="1">
      <c r="A39" s="13" t="s">
        <v>78</v>
      </c>
      <c r="B39" s="143">
        <v>200</v>
      </c>
      <c r="C39" s="143">
        <v>20</v>
      </c>
      <c r="D39" s="143">
        <v>20</v>
      </c>
      <c r="E39" s="143">
        <v>20</v>
      </c>
      <c r="F39" s="143">
        <v>20</v>
      </c>
    </row>
    <row r="40" spans="1:6" ht="13.5" customHeight="1">
      <c r="A40" s="13" t="s">
        <v>79</v>
      </c>
      <c r="B40" s="143">
        <v>300</v>
      </c>
      <c r="C40" s="143">
        <v>10</v>
      </c>
      <c r="D40" s="143">
        <v>10</v>
      </c>
      <c r="E40" s="143">
        <v>10</v>
      </c>
      <c r="F40" s="143">
        <v>10</v>
      </c>
    </row>
    <row r="41" spans="1:6" ht="13.5" customHeight="1">
      <c r="A41" s="13" t="s">
        <v>80</v>
      </c>
      <c r="B41" s="143">
        <v>100</v>
      </c>
      <c r="C41" s="143"/>
      <c r="D41" s="143"/>
      <c r="E41" s="143"/>
      <c r="F41" s="143"/>
    </row>
    <row r="42" spans="1:6" ht="13.5" customHeight="1">
      <c r="A42" s="13" t="s">
        <v>81</v>
      </c>
      <c r="B42" s="143">
        <v>200</v>
      </c>
      <c r="C42" s="143"/>
      <c r="D42" s="143"/>
      <c r="E42" s="143"/>
      <c r="F42" s="143"/>
    </row>
    <row r="43" spans="1:6" ht="13.5" customHeight="1">
      <c r="A43" s="13"/>
      <c r="B43" s="143"/>
      <c r="C43" s="143"/>
      <c r="D43" s="143"/>
      <c r="E43" s="143"/>
      <c r="F43" s="143"/>
    </row>
    <row r="44" spans="1:6" s="28" customFormat="1" ht="13.5" customHeight="1">
      <c r="A44" s="11" t="s">
        <v>82</v>
      </c>
      <c r="B44" s="12">
        <f>B38+B39+B41-B40-B42</f>
        <v>11720</v>
      </c>
      <c r="C44" s="12">
        <f>C38+C39+C41-C40-C42</f>
        <v>7998</v>
      </c>
      <c r="D44" s="12">
        <f>D38+D39+D41-D40-D42</f>
        <v>22160</v>
      </c>
      <c r="E44" s="12">
        <f>E38+E39+E41-E40-E42</f>
        <v>13610</v>
      </c>
      <c r="F44" s="12">
        <f>F38+F39+F41-F40-F42</f>
        <v>10850</v>
      </c>
    </row>
    <row r="45" spans="1:6" s="28" customFormat="1" ht="13.5" customHeight="1">
      <c r="A45" s="11" t="s">
        <v>190</v>
      </c>
      <c r="B45" s="12">
        <f>IF(B44&gt;0,B44*0.2,0)</f>
        <v>2344</v>
      </c>
      <c r="C45" s="12">
        <f>IF(C44&gt;0,C44*0.2,0)</f>
        <v>1599.6000000000001</v>
      </c>
      <c r="D45" s="12">
        <f>IF(D44&gt;0,D44*0.2,0)</f>
        <v>4432</v>
      </c>
      <c r="E45" s="12">
        <f>IF(E44&gt;0,E44*0.2,0)</f>
        <v>2722</v>
      </c>
      <c r="F45" s="12">
        <f>IF(F44&gt;0,F44*0.2,0)</f>
        <v>2170</v>
      </c>
    </row>
    <row r="46" spans="1:6" s="28" customFormat="1" ht="13.5" customHeight="1">
      <c r="A46" s="11" t="s">
        <v>83</v>
      </c>
      <c r="B46" s="12">
        <f>B44-B45</f>
        <v>9376</v>
      </c>
      <c r="C46" s="12">
        <f>C44-C45</f>
        <v>6398.4</v>
      </c>
      <c r="D46" s="12">
        <f>D44-D45</f>
        <v>17728</v>
      </c>
      <c r="E46" s="12">
        <f>E44-E45</f>
        <v>10888</v>
      </c>
      <c r="F46" s="12">
        <f>F44-F45</f>
        <v>8680</v>
      </c>
    </row>
    <row r="49" spans="1:6" s="161" customFormat="1" ht="15.75" customHeight="1">
      <c r="A49" s="144" t="s">
        <v>150</v>
      </c>
      <c r="B49" s="145"/>
      <c r="C49" s="145"/>
      <c r="D49" s="145"/>
      <c r="E49" s="145"/>
      <c r="F49" s="145"/>
    </row>
    <row r="53" spans="1:6" s="30" customFormat="1" ht="13.5" customHeight="1">
      <c r="A53" s="29" t="s">
        <v>147</v>
      </c>
      <c r="B53" s="19" t="str">
        <f>B3</f>
        <v>Leto 1</v>
      </c>
      <c r="C53" s="19" t="str">
        <f>C3</f>
        <v>Leto 2</v>
      </c>
      <c r="D53" s="19" t="str">
        <f>D3</f>
        <v>Leto 3</v>
      </c>
      <c r="E53" s="19" t="str">
        <f>E3</f>
        <v>Leto 4</v>
      </c>
      <c r="F53" s="19" t="str">
        <f>F3</f>
        <v>Leto 5</v>
      </c>
    </row>
    <row r="54" spans="1:7" s="30" customFormat="1" ht="13.5" customHeight="1">
      <c r="A54" s="18" t="s">
        <v>137</v>
      </c>
      <c r="B54" s="19">
        <f>B5</f>
        <v>28063.6</v>
      </c>
      <c r="C54" s="19">
        <f>C5</f>
        <v>30600</v>
      </c>
      <c r="D54" s="19">
        <f>D5</f>
        <v>28417.5</v>
      </c>
      <c r="E54" s="19">
        <f>E5</f>
        <v>21840</v>
      </c>
      <c r="F54" s="19">
        <f>F5</f>
        <v>18144</v>
      </c>
      <c r="G54" s="31"/>
    </row>
    <row r="55" spans="1:7" s="30" customFormat="1" ht="13.5" customHeight="1">
      <c r="A55" s="18" t="s">
        <v>138</v>
      </c>
      <c r="B55" s="19">
        <f aca="true" t="shared" si="0" ref="B55:F56">B6</f>
        <v>10827.7</v>
      </c>
      <c r="C55" s="19">
        <f t="shared" si="0"/>
        <v>18360</v>
      </c>
      <c r="D55" s="19">
        <f t="shared" si="0"/>
        <v>22102.5</v>
      </c>
      <c r="E55" s="19">
        <f t="shared" si="0"/>
        <v>20202</v>
      </c>
      <c r="F55" s="19">
        <f t="shared" si="0"/>
        <v>20736</v>
      </c>
      <c r="G55" s="31"/>
    </row>
    <row r="56" spans="1:7" s="30" customFormat="1" ht="13.5" customHeight="1">
      <c r="A56" s="18" t="s">
        <v>139</v>
      </c>
      <c r="B56" s="19">
        <f t="shared" si="0"/>
        <v>10028.7</v>
      </c>
      <c r="C56" s="19">
        <f t="shared" si="0"/>
        <v>12239.999999999998</v>
      </c>
      <c r="D56" s="19">
        <f t="shared" si="0"/>
        <v>12630</v>
      </c>
      <c r="E56" s="19">
        <f t="shared" si="0"/>
        <v>12557.999999999998</v>
      </c>
      <c r="F56" s="19">
        <f t="shared" si="0"/>
        <v>12960</v>
      </c>
      <c r="G56" s="31"/>
    </row>
    <row r="78" spans="1:6" ht="13.5" customHeight="1">
      <c r="A78" s="11" t="s">
        <v>148</v>
      </c>
      <c r="B78" s="14" t="str">
        <f>B3</f>
        <v>Leto 1</v>
      </c>
      <c r="C78" s="14" t="str">
        <f>C3</f>
        <v>Leto 2</v>
      </c>
      <c r="D78" s="14" t="str">
        <f>D3</f>
        <v>Leto 3</v>
      </c>
      <c r="E78" s="14" t="str">
        <f>E3</f>
        <v>Leto 4</v>
      </c>
      <c r="F78" s="14" t="str">
        <f>F3</f>
        <v>Leto 5</v>
      </c>
    </row>
    <row r="79" spans="1:7" ht="13.5" customHeight="1">
      <c r="A79" s="13" t="s">
        <v>140</v>
      </c>
      <c r="B79" s="14">
        <f>B9+B39+B41</f>
        <v>51220</v>
      </c>
      <c r="C79" s="14">
        <f>C9+C39+C41</f>
        <v>61220</v>
      </c>
      <c r="D79" s="14">
        <f>D9+D39+D41</f>
        <v>63170</v>
      </c>
      <c r="E79" s="14">
        <f>E9+E39+E41</f>
        <v>54620</v>
      </c>
      <c r="F79" s="14">
        <f>F9+F39+F41</f>
        <v>51860</v>
      </c>
      <c r="G79" s="32"/>
    </row>
    <row r="80" spans="1:7" ht="13.5" customHeight="1">
      <c r="A80" s="13" t="s">
        <v>141</v>
      </c>
      <c r="B80" s="14">
        <f>B11+B40+B42</f>
        <v>39500</v>
      </c>
      <c r="C80" s="14">
        <f>C11+C40+C42</f>
        <v>53222</v>
      </c>
      <c r="D80" s="14">
        <f>D11+D40+D42</f>
        <v>41010</v>
      </c>
      <c r="E80" s="14">
        <f>E11+E40+E42</f>
        <v>41010</v>
      </c>
      <c r="F80" s="14">
        <f>F11+F40+F42</f>
        <v>41010</v>
      </c>
      <c r="G80" s="32"/>
    </row>
  </sheetData>
  <sheetProtection password="C2FA" sheet="1" objects="1" scenarios="1"/>
  <printOptions/>
  <pageMargins left="0.3937007874015748" right="0.3937007874015748" top="0.5905511811023623" bottom="0.5905511811023623" header="0" footer="0.1968503937007874"/>
  <pageSetup errors="dash" horizontalDpi="600" verticalDpi="600" orientation="portrait" paperSize="9" r:id="rId4"/>
  <headerFooter alignWithMargins="0">
    <oddFooter xml:space="preserve">&amp;L&amp;"Tahoma,Navadno"&amp;9© ® Skupina Replika&amp;C&amp;"Tahoma,Navadno"&amp;9&amp;A: &amp;P / &amp;N&amp;R&amp;"Tahoma,Navadno"&amp;9www.replika.si © ® </oddFooter>
  </headerFooter>
  <rowBreaks count="1" manualBreakCount="1">
    <brk id="48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F14"/>
  <sheetViews>
    <sheetView zoomScalePageLayoutView="0" workbookViewId="0" topLeftCell="A1">
      <selection activeCell="I19" sqref="I19"/>
    </sheetView>
  </sheetViews>
  <sheetFormatPr defaultColWidth="9.140625" defaultRowHeight="13.5" customHeight="1"/>
  <cols>
    <col min="1" max="1" width="43.57421875" style="16" customWidth="1"/>
    <col min="2" max="6" width="10.7109375" style="32" customWidth="1"/>
    <col min="7" max="16384" width="9.140625" style="16" customWidth="1"/>
  </cols>
  <sheetData>
    <row r="1" spans="1:6" s="162" customFormat="1" ht="15.75" customHeight="1">
      <c r="A1" s="147" t="s">
        <v>122</v>
      </c>
      <c r="B1" s="160"/>
      <c r="C1" s="160"/>
      <c r="D1" s="160"/>
      <c r="E1" s="160"/>
      <c r="F1" s="160"/>
    </row>
    <row r="3" spans="1:6" ht="13.5" customHeight="1">
      <c r="A3" s="13"/>
      <c r="B3" s="3" t="s">
        <v>37</v>
      </c>
      <c r="C3" s="3" t="s">
        <v>40</v>
      </c>
      <c r="D3" s="3" t="s">
        <v>38</v>
      </c>
      <c r="E3" s="3" t="s">
        <v>39</v>
      </c>
      <c r="F3" s="3" t="s">
        <v>41</v>
      </c>
    </row>
    <row r="4" spans="1:6" ht="13.5" customHeight="1">
      <c r="A4" s="13" t="s">
        <v>123</v>
      </c>
      <c r="B4" s="38">
        <f>'Izkaz Uspeha'!B9+'Izkaz Uspeha'!B39+'Izkaz Uspeha'!B41</f>
        <v>51220</v>
      </c>
      <c r="C4" s="38">
        <f>'Izkaz Uspeha'!C4+'Izkaz Uspeha'!C39+'Izkaz Uspeha'!C41</f>
        <v>61220</v>
      </c>
      <c r="D4" s="38">
        <f>'Izkaz Uspeha'!D4+'Izkaz Uspeha'!D39+'Izkaz Uspeha'!D41</f>
        <v>63170</v>
      </c>
      <c r="E4" s="38">
        <f>'Izkaz Uspeha'!E4+'Izkaz Uspeha'!E39+'Izkaz Uspeha'!E41</f>
        <v>54620</v>
      </c>
      <c r="F4" s="38">
        <f>'Izkaz Uspeha'!F4+'Izkaz Uspeha'!F39+'Izkaz Uspeha'!F41</f>
        <v>51860</v>
      </c>
    </row>
    <row r="5" spans="1:6" ht="13.5" customHeight="1">
      <c r="A5" s="13" t="s">
        <v>124</v>
      </c>
      <c r="B5" s="38">
        <f>'Izkaz Uspeha'!B11+'Izkaz Uspeha'!B40+'Izkaz Uspeha'!B42</f>
        <v>39500</v>
      </c>
      <c r="C5" s="38">
        <f>'Izkaz Uspeha'!C11+'Izkaz Uspeha'!C40+'Izkaz Uspeha'!C42</f>
        <v>53222</v>
      </c>
      <c r="D5" s="38">
        <f>'Izkaz Uspeha'!D11+'Izkaz Uspeha'!D40+'Izkaz Uspeha'!D42</f>
        <v>41010</v>
      </c>
      <c r="E5" s="38">
        <f>'Izkaz Uspeha'!E11+'Izkaz Uspeha'!E40+'Izkaz Uspeha'!E42</f>
        <v>41010</v>
      </c>
      <c r="F5" s="38">
        <f>'Izkaz Uspeha'!F11+'Izkaz Uspeha'!F40+'Izkaz Uspeha'!F42</f>
        <v>41010</v>
      </c>
    </row>
    <row r="6" spans="1:6" ht="13.5" customHeight="1">
      <c r="A6" s="13" t="s">
        <v>125</v>
      </c>
      <c r="B6" s="38">
        <f>'Izkaz Uspeha'!B44</f>
        <v>11720</v>
      </c>
      <c r="C6" s="38">
        <f>'Izkaz Uspeha'!C44</f>
        <v>7998</v>
      </c>
      <c r="D6" s="38">
        <f>'Izkaz Uspeha'!D44</f>
        <v>22160</v>
      </c>
      <c r="E6" s="38">
        <f>'Izkaz Uspeha'!E44</f>
        <v>13610</v>
      </c>
      <c r="F6" s="38">
        <f>'Izkaz Uspeha'!F44</f>
        <v>10850</v>
      </c>
    </row>
    <row r="7" spans="1:6" ht="13.5" customHeight="1">
      <c r="A7" s="13" t="s">
        <v>126</v>
      </c>
      <c r="B7" s="38">
        <f>'Izkaz Uspeha'!B46</f>
        <v>9376</v>
      </c>
      <c r="C7" s="38">
        <f>'Izkaz Uspeha'!C46</f>
        <v>6398.4</v>
      </c>
      <c r="D7" s="38">
        <f>'Izkaz Uspeha'!D46</f>
        <v>17728</v>
      </c>
      <c r="E7" s="38">
        <f>'Izkaz Uspeha'!E46</f>
        <v>10888</v>
      </c>
      <c r="F7" s="38">
        <f>'Izkaz Uspeha'!F46</f>
        <v>8680</v>
      </c>
    </row>
    <row r="10" spans="1:6" ht="13.5" customHeight="1">
      <c r="A10" s="13" t="s">
        <v>127</v>
      </c>
      <c r="B10" s="15">
        <f>'Bilanca Stanja'!B33/'Bilanca Stanja'!B32</f>
        <v>0.3270570144538702</v>
      </c>
      <c r="C10" s="15">
        <f>'Bilanca Stanja'!C33/'Bilanca Stanja'!C32</f>
        <v>0.3205475999303612</v>
      </c>
      <c r="D10" s="15">
        <f>'Bilanca Stanja'!D33/'Bilanca Stanja'!D32</f>
        <v>0.3446625209504864</v>
      </c>
      <c r="E10" s="15">
        <f>'Bilanca Stanja'!E33/'Bilanca Stanja'!E32</f>
        <v>0.33031123745862223</v>
      </c>
      <c r="F10" s="15">
        <f>'Bilanca Stanja'!F33/'Bilanca Stanja'!F32</f>
        <v>0.32554270551555814</v>
      </c>
    </row>
    <row r="11" spans="1:6" ht="13.5" customHeight="1">
      <c r="A11" s="13" t="s">
        <v>128</v>
      </c>
      <c r="B11" s="15">
        <f>B7/'Bilanca Stanja'!B33</f>
        <v>0.09222355556429879</v>
      </c>
      <c r="C11" s="15">
        <f>C7/'Bilanca Stanja'!C33</f>
        <v>0.06483436756498231</v>
      </c>
      <c r="D11" s="15">
        <f>D7/'Bilanca Stanja'!D33</f>
        <v>0.1611372684469814</v>
      </c>
      <c r="E11" s="15">
        <f>E7/'Bilanca Stanja'!E33</f>
        <v>0.10552637190098664</v>
      </c>
      <c r="F11" s="15">
        <f>F7/'Bilanca Stanja'!F33</f>
        <v>0.08596612855303555</v>
      </c>
    </row>
    <row r="12" spans="1:6" ht="13.5" customHeight="1">
      <c r="A12" s="13" t="s">
        <v>129</v>
      </c>
      <c r="B12" s="39">
        <f>('Bilanca Stanja'!B24+'Bilanca Stanja'!B25+'Bilanca Stanja'!B28+'Bilanca Stanja'!B29)/('Bilanca Stanja'!B49+'Bilanca Stanja'!B50)</f>
        <v>5.905699736180134</v>
      </c>
      <c r="C12" s="39">
        <f>('Bilanca Stanja'!C24+'Bilanca Stanja'!C25+'Bilanca Stanja'!C28+'Bilanca Stanja'!C29)/('Bilanca Stanja'!C49+'Bilanca Stanja'!C50)</f>
        <v>5.905699736180134</v>
      </c>
      <c r="D12" s="39">
        <f>('Bilanca Stanja'!D24+'Bilanca Stanja'!D25+'Bilanca Stanja'!D28+'Bilanca Stanja'!D29)/('Bilanca Stanja'!D49+'Bilanca Stanja'!D50)</f>
        <v>5.905699736180134</v>
      </c>
      <c r="E12" s="39">
        <f>('Bilanca Stanja'!E24+'Bilanca Stanja'!E25+'Bilanca Stanja'!E28+'Bilanca Stanja'!E29)/('Bilanca Stanja'!E49+'Bilanca Stanja'!E50)</f>
        <v>5.905699736180134</v>
      </c>
      <c r="F12" s="39">
        <f>('Bilanca Stanja'!F24+'Bilanca Stanja'!F25+'Bilanca Stanja'!F28+'Bilanca Stanja'!F29)/('Bilanca Stanja'!F49+'Bilanca Stanja'!F50)</f>
        <v>5.905699736180134</v>
      </c>
    </row>
    <row r="13" spans="1:6" ht="13.5" customHeight="1">
      <c r="A13" s="13" t="s">
        <v>130</v>
      </c>
      <c r="B13" s="40">
        <f>B4/B5</f>
        <v>1.2967088607594937</v>
      </c>
      <c r="C13" s="40">
        <f>C4/C5</f>
        <v>1.150276201570779</v>
      </c>
      <c r="D13" s="40">
        <f>D4/D5</f>
        <v>1.5403560107290906</v>
      </c>
      <c r="E13" s="40">
        <f>E4/E5</f>
        <v>1.3318702755425507</v>
      </c>
      <c r="F13" s="40">
        <f>F4/F5</f>
        <v>1.2645696171665448</v>
      </c>
    </row>
    <row r="14" spans="1:6" ht="13.5" customHeight="1">
      <c r="A14" s="13" t="s">
        <v>131</v>
      </c>
      <c r="B14" s="15">
        <f>B7/B4</f>
        <v>0.18305349472862162</v>
      </c>
      <c r="C14" s="15">
        <f>C7/C4</f>
        <v>0.10451486442339104</v>
      </c>
      <c r="D14" s="15">
        <f>D7/D4</f>
        <v>0.28063954408738323</v>
      </c>
      <c r="E14" s="15">
        <f>E7/E4</f>
        <v>0.19934090076894911</v>
      </c>
      <c r="F14" s="15">
        <f>F7/F4</f>
        <v>0.1673736984188199</v>
      </c>
    </row>
  </sheetData>
  <sheetProtection password="C53A" sheet="1" objects="1" scenarios="1"/>
  <printOptions/>
  <pageMargins left="0.3937007874015748" right="0.3937007874015748" top="0.5905511811023623" bottom="0.5905511811023623" header="0" footer="0"/>
  <pageSetup errors="dash" horizontalDpi="600" verticalDpi="600" orientation="portrait" paperSize="9" r:id="rId2"/>
  <headerFooter alignWithMargins="0">
    <oddFooter xml:space="preserve">&amp;L&amp;"Tahoma,Navadno"&amp;9© ® Skupina Replika&amp;C&amp;"Tahoma,Navadno"&amp;9&amp;A: &amp;P / &amp;N&amp;R&amp;"Tahoma,Navadno"&amp;9www.replika.si © ®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Polona Urh</cp:lastModifiedBy>
  <cp:lastPrinted>2009-02-10T20:37:05Z</cp:lastPrinted>
  <dcterms:created xsi:type="dcterms:W3CDTF">1997-01-31T12:20:41Z</dcterms:created>
  <dcterms:modified xsi:type="dcterms:W3CDTF">2009-07-21T16:59:11Z</dcterms:modified>
  <cp:category/>
  <cp:version/>
  <cp:contentType/>
  <cp:contentStatus/>
</cp:coreProperties>
</file>